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30" windowWidth="18915" windowHeight="11535" tabRatio="836" activeTab="6"/>
  </bookViews>
  <sheets>
    <sheet name="Instrukcija" sheetId="7" r:id="rId1"/>
    <sheet name="Aprēķins" sheetId="1" r:id="rId2"/>
    <sheet name="Izmēru tabula" sheetId="2" r:id="rId3"/>
    <sheet name="Dzīvmasas grafiks" sheetId="3" r:id="rId4"/>
    <sheet name="Auguma grafiks" sheetId="6" r:id="rId5"/>
    <sheet name="% no pieaugušās govs" sheetId="4" r:id="rId6"/>
    <sheet name="Telīšu datu ievade" sheetId="5" r:id="rId7"/>
  </sheets>
  <definedNames>
    <definedName name="_xlnm.Print_Area" localSheetId="2">'Izmēru tabula'!$A$1:$F$34</definedName>
  </definedNames>
  <calcPr calcId="145621"/>
</workbook>
</file>

<file path=xl/calcChain.xml><?xml version="1.0" encoding="utf-8"?>
<calcChain xmlns="http://schemas.openxmlformats.org/spreadsheetml/2006/main">
  <c r="H2" i="5" l="1"/>
  <c r="E6" i="2" l="1"/>
  <c r="B46" i="2"/>
  <c r="B45" i="2"/>
  <c r="B47" i="2" l="1"/>
  <c r="C50" i="2" s="1"/>
  <c r="E7" i="2" s="1"/>
  <c r="E8" i="2" s="1"/>
  <c r="E9" i="2" s="1"/>
  <c r="E10" i="2" s="1"/>
  <c r="E11" i="2" s="1"/>
  <c r="E12" i="2" s="1"/>
  <c r="G20" i="1"/>
  <c r="G21" i="1" s="1"/>
  <c r="H27" i="5"/>
  <c r="I27" i="5"/>
  <c r="J27" i="5"/>
  <c r="H28" i="5"/>
  <c r="I28" i="5"/>
  <c r="J28" i="5"/>
  <c r="H29" i="5"/>
  <c r="I29" i="5"/>
  <c r="J29" i="5"/>
  <c r="H30" i="5"/>
  <c r="I30" i="5"/>
  <c r="J30" i="5"/>
  <c r="H31" i="5"/>
  <c r="I31" i="5"/>
  <c r="J31" i="5"/>
  <c r="H32" i="5"/>
  <c r="I32" i="5"/>
  <c r="J32" i="5"/>
  <c r="H33" i="5"/>
  <c r="I33" i="5"/>
  <c r="J33" i="5"/>
  <c r="H34" i="5"/>
  <c r="I34" i="5"/>
  <c r="J34" i="5"/>
  <c r="H35" i="5"/>
  <c r="I35" i="5"/>
  <c r="J35" i="5"/>
  <c r="H36" i="5"/>
  <c r="I36" i="5"/>
  <c r="J36" i="5"/>
  <c r="H37" i="5"/>
  <c r="I37" i="5"/>
  <c r="J37" i="5"/>
  <c r="H38" i="5"/>
  <c r="I38" i="5"/>
  <c r="J38" i="5"/>
  <c r="H39" i="5"/>
  <c r="I39" i="5"/>
  <c r="J39" i="5"/>
  <c r="H40" i="5"/>
  <c r="I40" i="5"/>
  <c r="J40" i="5"/>
  <c r="H41" i="5"/>
  <c r="I41" i="5"/>
  <c r="J41" i="5"/>
  <c r="H42" i="5"/>
  <c r="I42" i="5"/>
  <c r="J42" i="5"/>
  <c r="H43" i="5"/>
  <c r="I43" i="5"/>
  <c r="J43" i="5"/>
  <c r="H44" i="5"/>
  <c r="I44" i="5"/>
  <c r="J44" i="5"/>
  <c r="H45" i="5"/>
  <c r="I45" i="5"/>
  <c r="J45" i="5"/>
  <c r="H46" i="5"/>
  <c r="I46" i="5"/>
  <c r="J46" i="5"/>
  <c r="H47" i="5"/>
  <c r="I47" i="5"/>
  <c r="J47" i="5"/>
  <c r="H48" i="5"/>
  <c r="I48" i="5"/>
  <c r="J48" i="5"/>
  <c r="H49" i="5"/>
  <c r="I49" i="5"/>
  <c r="J49" i="5"/>
  <c r="H50" i="5"/>
  <c r="I50" i="5"/>
  <c r="J50" i="5"/>
  <c r="H51" i="5"/>
  <c r="I51" i="5"/>
  <c r="J51" i="5"/>
  <c r="H52" i="5"/>
  <c r="I52" i="5"/>
  <c r="J52" i="5"/>
  <c r="H53" i="5"/>
  <c r="I53" i="5"/>
  <c r="J53" i="5"/>
  <c r="H54" i="5"/>
  <c r="I54" i="5"/>
  <c r="J54" i="5"/>
  <c r="H55" i="5"/>
  <c r="I55" i="5"/>
  <c r="J55" i="5"/>
  <c r="H56" i="5"/>
  <c r="I56" i="5"/>
  <c r="J56" i="5"/>
  <c r="B48" i="2" l="1"/>
  <c r="I2" i="5"/>
  <c r="J2" i="5"/>
  <c r="C51" i="2" l="1"/>
  <c r="E13" i="2" s="1"/>
  <c r="E14" i="2" s="1"/>
  <c r="E15" i="2" s="1"/>
  <c r="E16" i="2" s="1"/>
  <c r="E17" i="2" s="1"/>
  <c r="E18" i="2" s="1"/>
  <c r="E38" i="2"/>
  <c r="E39" i="2" s="1"/>
  <c r="J3" i="5"/>
  <c r="J4" i="5"/>
  <c r="J5" i="5"/>
  <c r="J6" i="5"/>
  <c r="J7" i="5"/>
  <c r="J8" i="5"/>
  <c r="J9" i="5"/>
  <c r="J10" i="5"/>
  <c r="J11" i="5"/>
  <c r="J12" i="5"/>
  <c r="J13" i="5"/>
  <c r="J14" i="5"/>
  <c r="J15" i="5"/>
  <c r="J16" i="5"/>
  <c r="J17" i="5"/>
  <c r="J18" i="5"/>
  <c r="J19" i="5"/>
  <c r="J20" i="5"/>
  <c r="J21" i="5"/>
  <c r="J22" i="5"/>
  <c r="J23" i="5"/>
  <c r="J24" i="5"/>
  <c r="J25" i="5"/>
  <c r="J26" i="5"/>
  <c r="F38" i="2"/>
  <c r="H8" i="1"/>
  <c r="I36" i="1"/>
  <c r="I32" i="1"/>
  <c r="F42" i="2" l="1"/>
  <c r="F6" i="2"/>
  <c r="I3" i="5"/>
  <c r="I4" i="5"/>
  <c r="I5" i="5"/>
  <c r="I6" i="5"/>
  <c r="I7" i="5"/>
  <c r="I8" i="5"/>
  <c r="I9" i="5"/>
  <c r="I10" i="5"/>
  <c r="I11" i="5"/>
  <c r="I12" i="5"/>
  <c r="I13" i="5"/>
  <c r="I14" i="5"/>
  <c r="I15" i="5"/>
  <c r="I16" i="5"/>
  <c r="I17" i="5"/>
  <c r="I18" i="5"/>
  <c r="I19" i="5"/>
  <c r="I20" i="5"/>
  <c r="I21" i="5"/>
  <c r="I22" i="5"/>
  <c r="I23" i="5"/>
  <c r="I24" i="5"/>
  <c r="I25" i="5"/>
  <c r="I26" i="5"/>
  <c r="H3" i="5"/>
  <c r="H4" i="5"/>
  <c r="H5" i="5"/>
  <c r="H6" i="5"/>
  <c r="H7" i="5"/>
  <c r="H8" i="5"/>
  <c r="H9" i="5"/>
  <c r="H10" i="5"/>
  <c r="H11" i="5"/>
  <c r="H12" i="5"/>
  <c r="H13" i="5"/>
  <c r="H14" i="5"/>
  <c r="H15" i="5"/>
  <c r="H16" i="5"/>
  <c r="H17" i="5"/>
  <c r="H18" i="5"/>
  <c r="H19" i="5"/>
  <c r="H20" i="5"/>
  <c r="H21" i="5"/>
  <c r="H22" i="5"/>
  <c r="H23" i="5"/>
  <c r="H24" i="5"/>
  <c r="H25" i="5"/>
  <c r="H26" i="5"/>
  <c r="B33" i="2"/>
  <c r="B34" i="2"/>
  <c r="E37" i="2"/>
  <c r="C52" i="2" s="1"/>
  <c r="E19" i="2" s="1"/>
  <c r="E20" i="2" s="1"/>
  <c r="E21" i="2" s="1"/>
  <c r="E22" i="2" s="1"/>
  <c r="E23" i="2" s="1"/>
  <c r="E24" i="2" s="1"/>
  <c r="E25" i="2" s="1"/>
  <c r="E26" i="2" s="1"/>
  <c r="E27" i="2" s="1"/>
  <c r="E28" i="2" s="1"/>
  <c r="E29" i="2" s="1"/>
  <c r="E30" i="2" s="1"/>
  <c r="E31" i="2" s="1"/>
  <c r="E32" i="2" s="1"/>
  <c r="E33" i="2" s="1"/>
  <c r="E34" i="2" s="1"/>
  <c r="B6" i="2" l="1"/>
  <c r="B25" i="2"/>
  <c r="B26" i="2"/>
  <c r="B27" i="2"/>
  <c r="B28" i="2"/>
  <c r="B29" i="2"/>
  <c r="B30" i="2"/>
  <c r="B31" i="2"/>
  <c r="B32" i="2"/>
  <c r="B24" i="2"/>
  <c r="G36" i="1"/>
  <c r="G32" i="1"/>
  <c r="C6" i="2"/>
  <c r="B23" i="2"/>
  <c r="B22" i="2"/>
  <c r="B21" i="2"/>
  <c r="B20" i="2"/>
  <c r="B19" i="2"/>
  <c r="B18" i="2"/>
  <c r="B17" i="2"/>
  <c r="B16" i="2"/>
  <c r="B15" i="2"/>
  <c r="B14" i="2"/>
  <c r="B13" i="2"/>
  <c r="B12" i="2"/>
  <c r="B11" i="2"/>
  <c r="B10" i="2"/>
  <c r="B9" i="2"/>
  <c r="B8" i="2"/>
  <c r="B7" i="2"/>
  <c r="G31" i="1"/>
  <c r="D6" i="2" l="1"/>
  <c r="C7" i="2"/>
  <c r="C8" i="2" s="1"/>
  <c r="G35" i="1"/>
  <c r="G37" i="1" s="1"/>
  <c r="E42" i="2"/>
  <c r="C34" i="2" s="1"/>
  <c r="G33" i="1"/>
  <c r="G30" i="1"/>
  <c r="I33" i="1"/>
  <c r="I37" i="1"/>
  <c r="G24" i="1"/>
  <c r="G23" i="1" s="1"/>
  <c r="C9" i="2" l="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c r="C32" i="2"/>
  <c r="G25" i="1"/>
  <c r="C33" i="2"/>
  <c r="F7" i="2"/>
  <c r="D7" i="2"/>
  <c r="F8" i="2" l="1"/>
  <c r="D34" i="2"/>
  <c r="D33" i="2"/>
  <c r="D8" i="2"/>
  <c r="F9" i="2" l="1"/>
  <c r="D9" i="2"/>
  <c r="F10" i="2" l="1"/>
  <c r="D10" i="2"/>
  <c r="F11" i="2" l="1"/>
  <c r="D11" i="2"/>
  <c r="F12" i="2" l="1"/>
  <c r="D12" i="2"/>
  <c r="F13" i="2" l="1"/>
  <c r="D13" i="2"/>
  <c r="F14" i="2" l="1"/>
  <c r="D14" i="2"/>
  <c r="F15" i="2" l="1"/>
  <c r="D15" i="2"/>
  <c r="F16" i="2" l="1"/>
  <c r="D16" i="2"/>
  <c r="F17" i="2" l="1"/>
  <c r="D17" i="2"/>
  <c r="F18" i="2" l="1"/>
  <c r="D18" i="2"/>
  <c r="F19" i="2" l="1"/>
  <c r="D19" i="2"/>
  <c r="F20" i="2" l="1"/>
  <c r="D20" i="2"/>
  <c r="F21" i="2" l="1"/>
  <c r="D21" i="2"/>
  <c r="F22" i="2" l="1"/>
  <c r="D22" i="2"/>
  <c r="F23" i="2" l="1"/>
  <c r="D23" i="2"/>
  <c r="F24" i="2" l="1"/>
  <c r="D24" i="2"/>
  <c r="F25" i="2" l="1"/>
  <c r="D25" i="2"/>
  <c r="F26" i="2" l="1"/>
  <c r="D26" i="2"/>
  <c r="F27" i="2" l="1"/>
  <c r="D27" i="2"/>
  <c r="F28" i="2" l="1"/>
  <c r="D28" i="2"/>
  <c r="F29" i="2" l="1"/>
  <c r="D29" i="2"/>
  <c r="F30" i="2" l="1"/>
  <c r="D30" i="2"/>
  <c r="F31" i="2" l="1"/>
  <c r="D32" i="2"/>
  <c r="D31" i="2"/>
  <c r="F32" i="2" l="1"/>
  <c r="F33" i="2" l="1"/>
  <c r="F34" i="2"/>
</calcChain>
</file>

<file path=xl/comments1.xml><?xml version="1.0" encoding="utf-8"?>
<comments xmlns="http://schemas.openxmlformats.org/spreadsheetml/2006/main">
  <authors>
    <author>Coleen</author>
  </authors>
  <commentList>
    <comment ref="G6" authorId="0">
      <text>
        <r>
          <rPr>
            <b/>
            <sz val="9"/>
            <color indexed="81"/>
            <rFont val="Tahoma"/>
            <family val="2"/>
            <charset val="186"/>
          </rPr>
          <t>Coleen:</t>
        </r>
        <r>
          <rPr>
            <sz val="9"/>
            <color indexed="81"/>
            <rFont val="Tahoma"/>
            <family val="2"/>
            <charset val="186"/>
          </rPr>
          <t xml:space="preserve">
Use either withers or hip height; just be sure to use the same measurement for heifers and mature cows</t>
        </r>
      </text>
    </comment>
    <comment ref="A35" authorId="0">
      <text>
        <r>
          <rPr>
            <sz val="9"/>
            <color indexed="81"/>
            <rFont val="Tahoma"/>
            <family val="2"/>
          </rPr>
          <t>Calculated based on NRC 2001 Equation 11-16.
Post-calving BW + Conceptus weight 7 d before calving</t>
        </r>
      </text>
    </comment>
  </commentList>
</comments>
</file>

<file path=xl/comments2.xml><?xml version="1.0" encoding="utf-8"?>
<comments xmlns="http://schemas.openxmlformats.org/spreadsheetml/2006/main">
  <authors>
    <author>Coleen</author>
  </authors>
  <commentList>
    <comment ref="E1" authorId="0">
      <text>
        <r>
          <rPr>
            <sz val="9"/>
            <color indexed="81"/>
            <rFont val="Tahoma"/>
            <family val="2"/>
          </rPr>
          <t>Enter average mature weight of cows in their 3rd lactation or enter mature weight of each heifer's dam.</t>
        </r>
      </text>
    </comment>
  </commentList>
</comments>
</file>

<file path=xl/sharedStrings.xml><?xml version="1.0" encoding="utf-8"?>
<sst xmlns="http://schemas.openxmlformats.org/spreadsheetml/2006/main" count="72" uniqueCount="67">
  <si>
    <t>Piena telīšu audzēšanas individuālais plāns</t>
  </si>
  <si>
    <t>balstīts uz pieaugušu dzīvnieku sagaidāmo svaru un pirmās atnešanās vecumu</t>
  </si>
  <si>
    <t>DATU IEVADĪŠANA</t>
  </si>
  <si>
    <t>Vidējais 3.laktācijas govs lielums:</t>
  </si>
  <si>
    <t>svars (kg):</t>
  </si>
  <si>
    <t>augstums (cm):</t>
  </si>
  <si>
    <t>vidējais teļu svars piedzimstot (kg):</t>
  </si>
  <si>
    <t>Piena perioda teļu augšanas mērķi:</t>
  </si>
  <si>
    <t>Uzdevums dubultot telītes dzimšanas svaru 2 mēnešu vecumā</t>
  </si>
  <si>
    <t>VAI ievadiet vēlamo dzīvsvara pieaugumu (g/d):</t>
  </si>
  <si>
    <t>Vidējais telīšu sēklošanas reižu skaits:</t>
  </si>
  <si>
    <t>Sagaidāmais atnešanās vecums telītēm (mēn):</t>
  </si>
  <si>
    <t>REZULTĀTI</t>
  </si>
  <si>
    <t>Telīšu svars 2 mēnešu vecumā (kg):</t>
  </si>
  <si>
    <t>Vid. dzīvsv. pieaug. dienā no dzimš. līdz 2. mēn. vec. (g/d):</t>
  </si>
  <si>
    <t>Telīšu vecums sēklošanas sākšanai (mēn):</t>
  </si>
  <si>
    <t>Telīšu vecums sēklošanas sākšanai  (d.):</t>
  </si>
  <si>
    <t>Svars uzsākot sēklošanu (kg):</t>
  </si>
  <si>
    <t>Ja tele nesasniedz vēlamo svaru uz sēklošanas laiku, ir jāpalielina diennaksts dzīvsvara pieaugums.</t>
  </si>
  <si>
    <t>Ja teles  stabili sasniedz svaru pirms sēklošanas vecuma, jāpārskata atnešanās vecums</t>
  </si>
  <si>
    <t xml:space="preserve">Holšteinas šķirnes telīšu sēklošana pirms 10 mēn.v. NETIEK REKOMENDĒTA </t>
  </si>
  <si>
    <t>Telītes vecums pirmo reizi sēklojot (mēn):</t>
  </si>
  <si>
    <t>Telītes vecums pirmo reizi sēklojot (d.):</t>
  </si>
  <si>
    <t>Telītes lielums pirmo reizi sēklojot:</t>
  </si>
  <si>
    <t>Nepieciešamais dzīvsv.pieaugums no 2.mēn. līdz apsēklošanai (g/d):</t>
  </si>
  <si>
    <t>Svars 1 nedēļu pirms atnešanās (kg):</t>
  </si>
  <si>
    <t>Lielums pēc atnešanās:</t>
  </si>
  <si>
    <t>svars(kg):</t>
  </si>
  <si>
    <t>Nepieciešamais dzīvsv. pieaug. no sēkl. līdz atnešanās (g/d):</t>
  </si>
  <si>
    <t>vecums, mēn</t>
  </si>
  <si>
    <t>vecums, d</t>
  </si>
  <si>
    <t>svars, kg</t>
  </si>
  <si>
    <t>krustu augstums, cm</t>
  </si>
  <si>
    <t>% no pieaug. govs</t>
  </si>
  <si>
    <t>Teles Nr.</t>
  </si>
  <si>
    <t>Dzimšanas datums</t>
  </si>
  <si>
    <t>Mērīšanas datums</t>
  </si>
  <si>
    <t>Svars (kg)</t>
  </si>
  <si>
    <t>Pieaugušas govs svars (kg)</t>
  </si>
  <si>
    <t>Augstums (cm)</t>
  </si>
  <si>
    <t>Pieaugušas govs augstums (cm)</t>
  </si>
  <si>
    <t>Vecums (mēn)</t>
  </si>
  <si>
    <t>% no pieaug.svara</t>
  </si>
  <si>
    <t>% no pieaug. krustu vai skausta augst.</t>
  </si>
  <si>
    <t>Ievads</t>
  </si>
  <si>
    <t>Šīs darba lapas ir veidotas kā instruments, lai aprēķinātu teļu augšanas karti atkarībā no uzstādītā mērķa uz sagaidāmās atnešanās laiku. Aprēķins ir balstīts uz konkrētā ganāmpulka dzīvnieku izmēriem un, lietojot augšanas standartus, kas aprakstīti 2001 Nutrient Requirements of Dairy Cattle.</t>
  </si>
  <si>
    <t>Auguma mērķuzstādījumi</t>
  </si>
  <si>
    <t>Uz atnešanās brīdi</t>
  </si>
  <si>
    <t>6 mēnešu vecumā</t>
  </si>
  <si>
    <t>12 mēnešu vecumā</t>
  </si>
  <si>
    <t>6 līdz 12 mēnešu vecumam</t>
  </si>
  <si>
    <t>12 mēneši līdz atnešanās</t>
  </si>
  <si>
    <t>augums</t>
  </si>
  <si>
    <t>Dzīvamasa pēc 2.atnešanās</t>
  </si>
  <si>
    <t>Dzīvmasa 7 d pirms 2.atnešanās (kg):</t>
  </si>
  <si>
    <t>Starpatnešanās intervālsl (mēn):</t>
  </si>
  <si>
    <t>Pamatojoties uz pieaugušas govs izmēriem un uzstādīto mērķi  pirmo reizi atnesoties</t>
  </si>
  <si>
    <t>Piena telīšu augšanas līkne</t>
  </si>
  <si>
    <t>Telīšu augšanas karte</t>
  </si>
  <si>
    <t>Datus ievada sadaļās "Aprēķins" un "Telīšu datu ievade". Dati jāievada lauciņos ar skaitļiem zilajā krāsā.</t>
  </si>
  <si>
    <t xml:space="preserve">Saimniecības izvēle ir mērīt skausta vai krustu augstumu Jūsu ganāmpulka dzīvniekiem, jo ir pierādīts, ka tie rādītāji ir līdzīgi. Tikai ir jāatcerās, ka ganāmpulkā mēra tikai vienu izvēlēto dzīvnieka augstuma rādītāju ( vai nu skausta vai krustu augstumu). </t>
  </si>
  <si>
    <t>Materiāla tapis izmantojot :</t>
  </si>
  <si>
    <t>Pirmās atnešanās vecums (dienas):</t>
  </si>
  <si>
    <t>1.laktācijas laikā  (gr/d):</t>
  </si>
  <si>
    <t xml:space="preserve">Vidējais dzīvsvara pieaugums </t>
  </si>
  <si>
    <t>piedzimstot</t>
  </si>
  <si>
    <t>no dzimšanas līdz 6 mēn.v.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</si>
</sst>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0" x14ac:knownFonts="1">
    <font>
      <sz val="11"/>
      <color theme="1"/>
      <name val="Calibri"/>
      <family val="2"/>
      <scheme val="minor"/>
    </font>
    <font>
      <sz val="11"/>
      <color theme="1"/>
      <name val="Calibri"/>
      <family val="2"/>
      <charset val="186"/>
      <scheme val="minor"/>
    </font>
    <font>
      <b/>
      <sz val="14"/>
      <color theme="1"/>
      <name val="Calibri"/>
      <family val="2"/>
      <scheme val="minor"/>
    </font>
    <font>
      <sz val="11"/>
      <color rgb="FF0070C0"/>
      <name val="Calibri"/>
      <family val="2"/>
      <scheme val="minor"/>
    </font>
    <font>
      <i/>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sz val="11"/>
      <color theme="0"/>
      <name val="Calibri"/>
      <family val="2"/>
      <scheme val="minor"/>
    </font>
    <font>
      <b/>
      <sz val="16"/>
      <color theme="1"/>
      <name val="Calibri"/>
      <family val="2"/>
      <scheme val="minor"/>
    </font>
    <font>
      <sz val="12"/>
      <color theme="1"/>
      <name val="Calibri"/>
      <family val="2"/>
      <scheme val="minor"/>
    </font>
    <font>
      <sz val="20"/>
      <color theme="1"/>
      <name val="Calibri"/>
      <family val="2"/>
      <scheme val="minor"/>
    </font>
    <font>
      <b/>
      <sz val="21"/>
      <color theme="1"/>
      <name val="Calibri"/>
      <family val="2"/>
      <scheme val="minor"/>
    </font>
    <font>
      <sz val="10"/>
      <color theme="1"/>
      <name val="Calibri"/>
      <family val="2"/>
      <scheme val="minor"/>
    </font>
    <font>
      <b/>
      <sz val="12"/>
      <color theme="1"/>
      <name val="Calibri"/>
      <family val="2"/>
      <scheme val="minor"/>
    </font>
    <font>
      <sz val="9"/>
      <color indexed="81"/>
      <name val="Tahoma"/>
      <family val="2"/>
      <charset val="186"/>
    </font>
    <font>
      <b/>
      <sz val="9"/>
      <color indexed="81"/>
      <name val="Tahoma"/>
      <family val="2"/>
      <charset val="186"/>
    </font>
    <font>
      <sz val="11"/>
      <color rgb="FFFF0000"/>
      <name val="Calibri"/>
      <family val="2"/>
      <charset val="186"/>
      <scheme val="minor"/>
    </font>
    <font>
      <b/>
      <sz val="11"/>
      <color theme="1"/>
      <name val="Calibri"/>
      <family val="2"/>
      <charset val="186"/>
      <scheme val="minor"/>
    </font>
    <font>
      <sz val="11"/>
      <name val="Calibri"/>
      <family val="2"/>
      <charset val="186"/>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72">
    <xf numFmtId="0" fontId="0" fillId="0" borderId="0" xfId="0"/>
    <xf numFmtId="164" fontId="0" fillId="0" borderId="0" xfId="0" applyNumberFormat="1"/>
    <xf numFmtId="1" fontId="0" fillId="0" borderId="0" xfId="0" applyNumberFormat="1"/>
    <xf numFmtId="2" fontId="0" fillId="0" borderId="0" xfId="0" applyNumberForma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2" borderId="7" xfId="0" applyFill="1" applyBorder="1"/>
    <xf numFmtId="0" fontId="0" fillId="2" borderId="8" xfId="0" applyFill="1" applyBorder="1"/>
    <xf numFmtId="0" fontId="0" fillId="3" borderId="7" xfId="0" applyFill="1" applyBorder="1"/>
    <xf numFmtId="0" fontId="0" fillId="3" borderId="8" xfId="0" applyFill="1" applyBorder="1"/>
    <xf numFmtId="164" fontId="0" fillId="0" borderId="0" xfId="0" applyNumberFormat="1" applyBorder="1"/>
    <xf numFmtId="1" fontId="0" fillId="0" borderId="0" xfId="0" applyNumberFormat="1" applyBorder="1"/>
    <xf numFmtId="0" fontId="4" fillId="0" borderId="1" xfId="0" applyFont="1" applyBorder="1"/>
    <xf numFmtId="0" fontId="2" fillId="2" borderId="6" xfId="0" applyFont="1" applyFill="1" applyBorder="1" applyAlignment="1">
      <alignment vertical="center"/>
    </xf>
    <xf numFmtId="0" fontId="2" fillId="3" borderId="6" xfId="0" applyFont="1" applyFill="1" applyBorder="1" applyAlignment="1">
      <alignment vertical="center"/>
    </xf>
    <xf numFmtId="0" fontId="3" fillId="0" borderId="0" xfId="0" applyFont="1"/>
    <xf numFmtId="0" fontId="6" fillId="0" borderId="0" xfId="0" applyFont="1" applyAlignment="1">
      <alignment horizontal="center"/>
    </xf>
    <xf numFmtId="0" fontId="0" fillId="0" borderId="0" xfId="0" applyAlignment="1">
      <alignment horizontal="center"/>
    </xf>
    <xf numFmtId="164" fontId="0" fillId="0" borderId="0" xfId="0" applyNumberFormat="1" applyAlignment="1">
      <alignment horizontal="center"/>
    </xf>
    <xf numFmtId="0" fontId="3" fillId="0" borderId="0" xfId="0" applyFont="1" applyAlignment="1">
      <alignment horizontal="center"/>
    </xf>
    <xf numFmtId="14" fontId="3" fillId="0" borderId="0" xfId="0" applyNumberFormat="1" applyFont="1" applyAlignment="1">
      <alignment horizontal="center"/>
    </xf>
    <xf numFmtId="0" fontId="0" fillId="0" borderId="0" xfId="0" applyBorder="1" applyAlignment="1">
      <alignment horizontal="right"/>
    </xf>
    <xf numFmtId="0" fontId="0" fillId="0" borderId="0" xfId="0" applyBorder="1" applyAlignment="1">
      <alignment horizontal="center"/>
    </xf>
    <xf numFmtId="165" fontId="0" fillId="0" borderId="0" xfId="0" applyNumberFormat="1"/>
    <xf numFmtId="0" fontId="8" fillId="0" borderId="2" xfId="0" applyFont="1" applyBorder="1"/>
    <xf numFmtId="0" fontId="8" fillId="0" borderId="5" xfId="0" applyFont="1" applyBorder="1"/>
    <xf numFmtId="0" fontId="8" fillId="0" borderId="0" xfId="0" applyFont="1" applyBorder="1" applyAlignment="1">
      <alignment horizontal="center"/>
    </xf>
    <xf numFmtId="0" fontId="3" fillId="0" borderId="0"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0" xfId="0" applyFont="1" applyAlignment="1" applyProtection="1">
      <alignment horizontal="center"/>
      <protection locked="0"/>
    </xf>
    <xf numFmtId="0" fontId="5" fillId="0" borderId="1" xfId="0" applyFont="1" applyBorder="1" applyAlignment="1">
      <alignment horizontal="left" indent="1"/>
    </xf>
    <xf numFmtId="0" fontId="0" fillId="0" borderId="0" xfId="0" applyAlignment="1">
      <alignment wrapText="1"/>
    </xf>
    <xf numFmtId="0" fontId="11" fillId="0" borderId="0" xfId="0" applyFont="1"/>
    <xf numFmtId="0" fontId="12" fillId="0" borderId="0" xfId="0" applyFont="1" applyAlignment="1">
      <alignment horizontal="center" vertical="center" wrapText="1"/>
    </xf>
    <xf numFmtId="0" fontId="6" fillId="0" borderId="0" xfId="0" applyFont="1" applyAlignment="1">
      <alignment wrapText="1"/>
    </xf>
    <xf numFmtId="0" fontId="13" fillId="0" borderId="0" xfId="0" applyFont="1" applyAlignment="1">
      <alignment horizontal="right" wrapText="1"/>
    </xf>
    <xf numFmtId="0" fontId="0" fillId="0" borderId="1" xfId="0" applyBorder="1" applyAlignment="1">
      <alignment horizontal="center"/>
    </xf>
    <xf numFmtId="164" fontId="0" fillId="0" borderId="0" xfId="0" applyNumberFormat="1" applyBorder="1" applyAlignment="1">
      <alignment horizontal="center"/>
    </xf>
    <xf numFmtId="1" fontId="0" fillId="0" borderId="0" xfId="0" applyNumberFormat="1" applyBorder="1" applyAlignment="1">
      <alignment horizontal="center"/>
    </xf>
    <xf numFmtId="2" fontId="0" fillId="0" borderId="0" xfId="0" applyNumberFormat="1" applyBorder="1" applyAlignment="1">
      <alignment horizontal="center"/>
    </xf>
    <xf numFmtId="164" fontId="0" fillId="0" borderId="2" xfId="0" applyNumberFormat="1" applyBorder="1" applyAlignment="1">
      <alignment horizontal="center"/>
    </xf>
    <xf numFmtId="0" fontId="0" fillId="0" borderId="3" xfId="0" applyBorder="1" applyAlignment="1">
      <alignment horizontal="center"/>
    </xf>
    <xf numFmtId="164" fontId="0" fillId="0" borderId="4" xfId="0" applyNumberFormat="1" applyBorder="1" applyAlignment="1">
      <alignment horizontal="center"/>
    </xf>
    <xf numFmtId="1" fontId="0" fillId="0" borderId="4" xfId="0" applyNumberFormat="1" applyBorder="1" applyAlignment="1">
      <alignment horizontal="center"/>
    </xf>
    <xf numFmtId="2" fontId="0" fillId="0" borderId="4" xfId="0" applyNumberFormat="1" applyBorder="1" applyAlignment="1">
      <alignment horizontal="center"/>
    </xf>
    <xf numFmtId="164" fontId="0" fillId="0" borderId="5" xfId="0" applyNumberFormat="1" applyBorder="1" applyAlignment="1">
      <alignment horizontal="center"/>
    </xf>
    <xf numFmtId="0" fontId="6" fillId="2" borderId="10" xfId="0" applyFont="1" applyFill="1" applyBorder="1" applyAlignment="1">
      <alignment horizontal="center"/>
    </xf>
    <xf numFmtId="1" fontId="3" fillId="0" borderId="0" xfId="0" applyNumberFormat="1" applyFont="1" applyBorder="1" applyAlignment="1" applyProtection="1">
      <alignment horizontal="center"/>
      <protection locked="0"/>
    </xf>
    <xf numFmtId="1" fontId="0" fillId="0" borderId="2" xfId="0" applyNumberFormat="1" applyBorder="1" applyAlignment="1">
      <alignment horizontal="center"/>
    </xf>
    <xf numFmtId="1" fontId="0" fillId="0" borderId="4" xfId="0" applyNumberFormat="1" applyBorder="1"/>
    <xf numFmtId="1" fontId="3" fillId="0" borderId="0" xfId="0" applyNumberFormat="1" applyFont="1" applyAlignment="1">
      <alignment horizontal="center"/>
    </xf>
    <xf numFmtId="0" fontId="0" fillId="0" borderId="0" xfId="0" applyBorder="1" applyAlignment="1">
      <alignment horizontal="right" wrapText="1"/>
    </xf>
    <xf numFmtId="0" fontId="6" fillId="2" borderId="9" xfId="0" applyFont="1" applyFill="1" applyBorder="1" applyAlignment="1">
      <alignment horizont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wrapText="1" indent="1"/>
    </xf>
    <xf numFmtId="0" fontId="5" fillId="0" borderId="0" xfId="0" applyFont="1" applyAlignment="1">
      <alignment wrapText="1"/>
    </xf>
    <xf numFmtId="0" fontId="1" fillId="0" borderId="0" xfId="0" applyFont="1" applyAlignment="1">
      <alignment wrapText="1"/>
    </xf>
    <xf numFmtId="0" fontId="19" fillId="0" borderId="0" xfId="0" applyFont="1"/>
    <xf numFmtId="0" fontId="0" fillId="0" borderId="0" xfId="0" applyAlignment="1"/>
    <xf numFmtId="0" fontId="18" fillId="0" borderId="0" xfId="0" applyFont="1"/>
    <xf numFmtId="0" fontId="12" fillId="0" borderId="0" xfId="0" applyFont="1" applyAlignment="1">
      <alignment horizontal="center" wrapText="1"/>
    </xf>
    <xf numFmtId="0" fontId="12" fillId="0" borderId="0" xfId="0" applyFont="1" applyAlignment="1">
      <alignment horizontal="center"/>
    </xf>
    <xf numFmtId="0" fontId="14"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alcChain" Target="calcChain.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lv-LV" sz="2400"/>
              <a:t>Piena telīšu augšanas diagramma</a:t>
            </a:r>
            <a:endParaRPr lang="en-US" sz="2400" baseline="0"/>
          </a:p>
          <a:p>
            <a:pPr>
              <a:defRPr sz="2400"/>
            </a:pPr>
            <a:r>
              <a:rPr lang="lv-LV" sz="1800" baseline="0"/>
              <a:t>Balstīta uz pieaugušas govs svaru un plānoto atnešanās vecumu</a:t>
            </a:r>
            <a:endParaRPr lang="en-US" sz="1800" baseline="0"/>
          </a:p>
        </c:rich>
      </c:tx>
      <c:layout>
        <c:manualLayout>
          <c:xMode val="edge"/>
          <c:yMode val="edge"/>
          <c:x val="0.30579513354462684"/>
          <c:y val="6.0574417181893719E-3"/>
        </c:manualLayout>
      </c:layout>
      <c:overlay val="0"/>
    </c:title>
    <c:autoTitleDeleted val="0"/>
    <c:plotArea>
      <c:layout>
        <c:manualLayout>
          <c:layoutTarget val="inner"/>
          <c:xMode val="edge"/>
          <c:yMode val="edge"/>
          <c:x val="0.13638177407677102"/>
          <c:y val="0.1297453139885249"/>
          <c:w val="0.83414584696588756"/>
          <c:h val="0.73837066582890609"/>
        </c:manualLayout>
      </c:layout>
      <c:scatterChart>
        <c:scatterStyle val="lineMarker"/>
        <c:varyColors val="0"/>
        <c:ser>
          <c:idx val="1"/>
          <c:order val="0"/>
          <c:tx>
            <c:v>Your Heifers</c:v>
          </c:tx>
          <c:spPr>
            <a:ln>
              <a:noFill/>
            </a:ln>
          </c:spPr>
          <c:xVal>
            <c:numRef>
              <c:f>'Telīšu datu ievade'!$H$2:$H$56</c:f>
              <c:numCache>
                <c:formatCode>0.0</c:formatCode>
                <c:ptCount val="55"/>
                <c:pt idx="0">
                  <c:v>31.080796930032065</c:v>
                </c:pt>
                <c:pt idx="1">
                  <c:v>19.055879724543971</c:v>
                </c:pt>
                <c:pt idx="2">
                  <c:v>15.080428954423592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xVal>
          <c:yVal>
            <c:numRef>
              <c:f>'Telīšu datu ievade'!$D$2:$D$56</c:f>
              <c:numCache>
                <c:formatCode>0</c:formatCode>
                <c:ptCount val="55"/>
                <c:pt idx="0">
                  <c:v>548</c:v>
                </c:pt>
                <c:pt idx="1">
                  <c:v>430</c:v>
                </c:pt>
                <c:pt idx="2">
                  <c:v>400</c:v>
                </c:pt>
              </c:numCache>
            </c:numRef>
          </c:yVal>
          <c:smooth val="0"/>
        </c:ser>
        <c:ser>
          <c:idx val="0"/>
          <c:order val="1"/>
          <c:tx>
            <c:v>Body Weight Goal, kg</c:v>
          </c:tx>
          <c:spPr>
            <a:ln w="101600">
              <a:solidFill>
                <a:schemeClr val="accent1">
                  <a:lumMod val="60000"/>
                  <a:lumOff val="40000"/>
                </a:schemeClr>
              </a:solidFill>
            </a:ln>
            <a:effectLst>
              <a:outerShdw blurRad="50800" dist="38100" dir="2700000" algn="tl" rotWithShape="0">
                <a:prstClr val="black">
                  <a:alpha val="40000"/>
                </a:prstClr>
              </a:outerShdw>
            </a:effectLst>
          </c:spPr>
          <c:marker>
            <c:symbol val="none"/>
          </c:marker>
          <c:xVal>
            <c:numRef>
              <c:f>'Izmēru tabula'!$A$6:$A$34</c:f>
              <c:numCache>
                <c:formatCode>General</c:formatCode>
                <c:ptCount val="2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numCache>
            </c:numRef>
          </c:xVal>
          <c:yVal>
            <c:numRef>
              <c:f>'Izmēru tabula'!$C$6:$C$34</c:f>
              <c:numCache>
                <c:formatCode>0</c:formatCode>
                <c:ptCount val="29"/>
                <c:pt idx="0">
                  <c:v>43</c:v>
                </c:pt>
                <c:pt idx="1">
                  <c:v>67.349440000000001</c:v>
                </c:pt>
                <c:pt idx="2">
                  <c:v>91.698880000000003</c:v>
                </c:pt>
                <c:pt idx="3">
                  <c:v>113.75260436720245</c:v>
                </c:pt>
                <c:pt idx="4">
                  <c:v>135.8063287344049</c:v>
                </c:pt>
                <c:pt idx="5">
                  <c:v>157.86005310160735</c:v>
                </c:pt>
                <c:pt idx="6">
                  <c:v>179.9137774688098</c:v>
                </c:pt>
                <c:pt idx="7">
                  <c:v>201.96750183601225</c:v>
                </c:pt>
                <c:pt idx="8">
                  <c:v>224.0212262032147</c:v>
                </c:pt>
                <c:pt idx="9">
                  <c:v>246.07495057041714</c:v>
                </c:pt>
                <c:pt idx="10">
                  <c:v>268.12867493761962</c:v>
                </c:pt>
                <c:pt idx="11">
                  <c:v>290.18239930482207</c:v>
                </c:pt>
                <c:pt idx="12">
                  <c:v>312.23612367202452</c:v>
                </c:pt>
                <c:pt idx="13">
                  <c:v>334.28984803922697</c:v>
                </c:pt>
                <c:pt idx="14">
                  <c:v>356.34357240642942</c:v>
                </c:pt>
                <c:pt idx="15">
                  <c:v>386.12183841976275</c:v>
                </c:pt>
                <c:pt idx="16">
                  <c:v>415.90010443309609</c:v>
                </c:pt>
                <c:pt idx="17">
                  <c:v>445.67837044642943</c:v>
                </c:pt>
                <c:pt idx="18">
                  <c:v>475.45663645976276</c:v>
                </c:pt>
                <c:pt idx="19">
                  <c:v>505.2349024730961</c:v>
                </c:pt>
                <c:pt idx="20">
                  <c:v>535.01316848642944</c:v>
                </c:pt>
                <c:pt idx="21">
                  <c:v>564.79143449976277</c:v>
                </c:pt>
                <c:pt idx="22">
                  <c:v>594.56970051309611</c:v>
                </c:pt>
                <c:pt idx="23">
                  <c:v>624.34796652642945</c:v>
                </c:pt>
                <c:pt idx="24">
                  <c:v>654.12623253976278</c:v>
                </c:pt>
                <c:pt idx="25">
                  <c:v>586.85770564097891</c:v>
                </c:pt>
                <c:pt idx="26">
                  <c:v>595.71541128195781</c:v>
                </c:pt>
                <c:pt idx="27">
                  <c:v>604.57311692293683</c:v>
                </c:pt>
                <c:pt idx="28">
                  <c:v>613.43082256391563</c:v>
                </c:pt>
              </c:numCache>
            </c:numRef>
          </c:yVal>
          <c:smooth val="0"/>
        </c:ser>
        <c:dLbls>
          <c:showLegendKey val="0"/>
          <c:showVal val="0"/>
          <c:showCatName val="0"/>
          <c:showSerName val="0"/>
          <c:showPercent val="0"/>
          <c:showBubbleSize val="0"/>
        </c:dLbls>
        <c:axId val="124532992"/>
        <c:axId val="124535168"/>
      </c:scatterChart>
      <c:valAx>
        <c:axId val="124532992"/>
        <c:scaling>
          <c:orientation val="minMax"/>
          <c:max val="28"/>
        </c:scaling>
        <c:delete val="0"/>
        <c:axPos val="b"/>
        <c:title>
          <c:tx>
            <c:rich>
              <a:bodyPr/>
              <a:lstStyle/>
              <a:p>
                <a:pPr>
                  <a:defRPr sz="2000"/>
                </a:pPr>
                <a:r>
                  <a:rPr lang="lv-LV" sz="2000"/>
                  <a:t>Vecums</a:t>
                </a:r>
                <a:r>
                  <a:rPr lang="en-US" sz="2000"/>
                  <a:t>, m</a:t>
                </a:r>
                <a:r>
                  <a:rPr lang="lv-LV" sz="2000"/>
                  <a:t>ēneši</a:t>
                </a:r>
                <a:endParaRPr lang="en-US" sz="2000"/>
              </a:p>
            </c:rich>
          </c:tx>
          <c:layout>
            <c:manualLayout>
              <c:xMode val="edge"/>
              <c:yMode val="edge"/>
              <c:x val="0.47265008994313712"/>
              <c:y val="0.94060670445916761"/>
            </c:manualLayout>
          </c:layout>
          <c:overlay val="0"/>
        </c:title>
        <c:numFmt formatCode="0" sourceLinked="0"/>
        <c:majorTickMark val="out"/>
        <c:minorTickMark val="none"/>
        <c:tickLblPos val="nextTo"/>
        <c:txPr>
          <a:bodyPr/>
          <a:lstStyle/>
          <a:p>
            <a:pPr>
              <a:defRPr sz="1800"/>
            </a:pPr>
            <a:endParaRPr lang="lv-LV"/>
          </a:p>
        </c:txPr>
        <c:crossAx val="124535168"/>
        <c:crosses val="autoZero"/>
        <c:crossBetween val="midCat"/>
        <c:majorUnit val="2"/>
      </c:valAx>
      <c:valAx>
        <c:axId val="124535168"/>
        <c:scaling>
          <c:orientation val="minMax"/>
        </c:scaling>
        <c:delete val="0"/>
        <c:axPos val="l"/>
        <c:majorGridlines/>
        <c:title>
          <c:tx>
            <c:rich>
              <a:bodyPr rot="-5400000" vert="horz"/>
              <a:lstStyle/>
              <a:p>
                <a:pPr>
                  <a:defRPr sz="2000"/>
                </a:pPr>
                <a:r>
                  <a:rPr lang="lv-LV" sz="2000"/>
                  <a:t>Dzīvsvars</a:t>
                </a:r>
                <a:r>
                  <a:rPr lang="en-US" sz="2000"/>
                  <a:t>, kg</a:t>
                </a:r>
              </a:p>
            </c:rich>
          </c:tx>
          <c:layout>
            <c:manualLayout>
              <c:xMode val="edge"/>
              <c:yMode val="edge"/>
              <c:x val="4.3939396385713628E-3"/>
              <c:y val="0.36069982689389651"/>
            </c:manualLayout>
          </c:layout>
          <c:overlay val="0"/>
        </c:title>
        <c:numFmt formatCode="0" sourceLinked="1"/>
        <c:majorTickMark val="out"/>
        <c:minorTickMark val="none"/>
        <c:tickLblPos val="nextTo"/>
        <c:txPr>
          <a:bodyPr/>
          <a:lstStyle/>
          <a:p>
            <a:pPr>
              <a:defRPr sz="1800"/>
            </a:pPr>
            <a:endParaRPr lang="lv-LV"/>
          </a:p>
        </c:txPr>
        <c:crossAx val="124532992"/>
        <c:crosses val="autoZero"/>
        <c:crossBetween val="midCat"/>
      </c:valAx>
      <c:spPr>
        <a:ln>
          <a:solidFill>
            <a:schemeClr val="tx1">
              <a:lumMod val="50000"/>
              <a:lumOff val="50000"/>
            </a:schemeClr>
          </a:solidFill>
        </a:ln>
      </c:spPr>
    </c:plotArea>
    <c:legend>
      <c:legendPos val="r"/>
      <c:layout>
        <c:manualLayout>
          <c:xMode val="edge"/>
          <c:yMode val="edge"/>
          <c:x val="0.14812570219422513"/>
          <c:y val="0.13745416376778599"/>
          <c:w val="0.25789496385321542"/>
          <c:h val="8.7158159962249945E-2"/>
        </c:manualLayout>
      </c:layout>
      <c:overlay val="1"/>
      <c:txPr>
        <a:bodyPr/>
        <a:lstStyle/>
        <a:p>
          <a:pPr>
            <a:defRPr sz="1200"/>
          </a:pPr>
          <a:endParaRPr lang="lv-LV"/>
        </a:p>
      </c:txPr>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lv-LV" sz="2400"/>
              <a:t>Piena telīšu augšanas diagramma</a:t>
            </a:r>
            <a:endParaRPr lang="en-US" sz="2400" baseline="0"/>
          </a:p>
          <a:p>
            <a:pPr>
              <a:defRPr sz="2400"/>
            </a:pPr>
            <a:r>
              <a:rPr lang="lv-LV" sz="1800" baseline="0"/>
              <a:t>Balstīta uz pieaugušas govs augumu un plānoto atnešanās vecumu</a:t>
            </a:r>
            <a:endParaRPr lang="en-US" sz="1800" baseline="0"/>
          </a:p>
        </c:rich>
      </c:tx>
      <c:layout>
        <c:manualLayout>
          <c:xMode val="edge"/>
          <c:yMode val="edge"/>
          <c:x val="0.30579513354462684"/>
          <c:y val="6.0574417181893728E-3"/>
        </c:manualLayout>
      </c:layout>
      <c:overlay val="0"/>
    </c:title>
    <c:autoTitleDeleted val="0"/>
    <c:plotArea>
      <c:layout>
        <c:manualLayout>
          <c:layoutTarget val="inner"/>
          <c:xMode val="edge"/>
          <c:yMode val="edge"/>
          <c:x val="0.13638177407677102"/>
          <c:y val="0.1297453139885249"/>
          <c:w val="0.83414584696588789"/>
          <c:h val="0.73837066582890609"/>
        </c:manualLayout>
      </c:layout>
      <c:scatterChart>
        <c:scatterStyle val="lineMarker"/>
        <c:varyColors val="0"/>
        <c:ser>
          <c:idx val="0"/>
          <c:order val="0"/>
          <c:tx>
            <c:v>Height Goal, cm</c:v>
          </c:tx>
          <c:spPr>
            <a:ln w="101600">
              <a:noFill/>
            </a:ln>
          </c:spPr>
          <c:marker>
            <c:symbol val="none"/>
          </c:marker>
          <c:trendline>
            <c:name>Height Goal, cm</c:name>
            <c:spPr>
              <a:ln w="101600">
                <a:solidFill>
                  <a:schemeClr val="accent1">
                    <a:lumMod val="60000"/>
                    <a:lumOff val="40000"/>
                    <a:alpha val="85000"/>
                  </a:schemeClr>
                </a:solidFill>
              </a:ln>
              <a:effectLst>
                <a:outerShdw blurRad="50800" dist="38100" dir="2700000" algn="tl" rotWithShape="0">
                  <a:prstClr val="black">
                    <a:alpha val="40000"/>
                  </a:prstClr>
                </a:outerShdw>
              </a:effectLst>
            </c:spPr>
            <c:trendlineType val="poly"/>
            <c:order val="2"/>
            <c:dispRSqr val="0"/>
            <c:dispEq val="0"/>
          </c:trendline>
          <c:xVal>
            <c:numRef>
              <c:f>'Izmēru tabula'!$A$6:$A$34</c:f>
              <c:numCache>
                <c:formatCode>General</c:formatCode>
                <c:ptCount val="2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numCache>
            </c:numRef>
          </c:xVal>
          <c:yVal>
            <c:numRef>
              <c:f>'Izmēru tabula'!$E$6:$E$34</c:f>
              <c:numCache>
                <c:formatCode>0.0</c:formatCode>
                <c:ptCount val="29"/>
                <c:pt idx="0">
                  <c:v>80.850000000000009</c:v>
                </c:pt>
                <c:pt idx="1">
                  <c:v>85.872500000000016</c:v>
                </c:pt>
                <c:pt idx="2">
                  <c:v>90.895000000000024</c:v>
                </c:pt>
                <c:pt idx="3">
                  <c:v>95.917500000000032</c:v>
                </c:pt>
                <c:pt idx="4">
                  <c:v>100.94000000000004</c:v>
                </c:pt>
                <c:pt idx="5">
                  <c:v>105.96250000000005</c:v>
                </c:pt>
                <c:pt idx="6">
                  <c:v>110.98500000000006</c:v>
                </c:pt>
                <c:pt idx="7">
                  <c:v>113.49625000000006</c:v>
                </c:pt>
                <c:pt idx="8">
                  <c:v>116.00750000000006</c:v>
                </c:pt>
                <c:pt idx="9">
                  <c:v>118.51875000000007</c:v>
                </c:pt>
                <c:pt idx="10">
                  <c:v>121.03000000000007</c:v>
                </c:pt>
                <c:pt idx="11">
                  <c:v>123.54125000000008</c:v>
                </c:pt>
                <c:pt idx="12">
                  <c:v>126.05250000000008</c:v>
                </c:pt>
                <c:pt idx="13">
                  <c:v>127.30812500000008</c:v>
                </c:pt>
                <c:pt idx="14">
                  <c:v>128.56375000000008</c:v>
                </c:pt>
                <c:pt idx="15">
                  <c:v>129.81937500000009</c:v>
                </c:pt>
                <c:pt idx="16">
                  <c:v>131.0750000000001</c:v>
                </c:pt>
                <c:pt idx="17">
                  <c:v>132.33062500000011</c:v>
                </c:pt>
                <c:pt idx="18">
                  <c:v>133.58625000000012</c:v>
                </c:pt>
                <c:pt idx="19">
                  <c:v>134.84187500000013</c:v>
                </c:pt>
                <c:pt idx="20">
                  <c:v>136.09750000000014</c:v>
                </c:pt>
                <c:pt idx="21">
                  <c:v>137.35312500000015</c:v>
                </c:pt>
                <c:pt idx="22">
                  <c:v>138.60875000000016</c:v>
                </c:pt>
                <c:pt idx="23">
                  <c:v>139.86437500000017</c:v>
                </c:pt>
                <c:pt idx="24">
                  <c:v>141.12000000000018</c:v>
                </c:pt>
                <c:pt idx="25">
                  <c:v>141.22888888888906</c:v>
                </c:pt>
                <c:pt idx="26">
                  <c:v>141.33777777777794</c:v>
                </c:pt>
                <c:pt idx="27">
                  <c:v>141.44666666666683</c:v>
                </c:pt>
                <c:pt idx="28">
                  <c:v>141.55555555555571</c:v>
                </c:pt>
              </c:numCache>
            </c:numRef>
          </c:yVal>
          <c:smooth val="0"/>
        </c:ser>
        <c:ser>
          <c:idx val="1"/>
          <c:order val="1"/>
          <c:tx>
            <c:v>Your Heifers</c:v>
          </c:tx>
          <c:spPr>
            <a:ln w="28575">
              <a:noFill/>
            </a:ln>
          </c:spPr>
          <c:marker>
            <c:symbol val="square"/>
            <c:size val="7"/>
            <c:spPr>
              <a:solidFill>
                <a:schemeClr val="accent2"/>
              </a:solidFill>
            </c:spPr>
          </c:marker>
          <c:xVal>
            <c:numRef>
              <c:f>'Telīšu datu ievade'!$H$2:$H$56</c:f>
              <c:numCache>
                <c:formatCode>0.0</c:formatCode>
                <c:ptCount val="55"/>
                <c:pt idx="0">
                  <c:v>31.080796930032065</c:v>
                </c:pt>
                <c:pt idx="1">
                  <c:v>19.055879724543971</c:v>
                </c:pt>
                <c:pt idx="2">
                  <c:v>15.080428954423592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xVal>
          <c:yVal>
            <c:numRef>
              <c:f>'Telīšu datu ievade'!$F$2:$F$56</c:f>
              <c:numCache>
                <c:formatCode>0</c:formatCode>
                <c:ptCount val="55"/>
                <c:pt idx="0">
                  <c:v>130.81</c:v>
                </c:pt>
                <c:pt idx="1">
                  <c:v>127.63500000000001</c:v>
                </c:pt>
                <c:pt idx="2">
                  <c:v>135.255</c:v>
                </c:pt>
              </c:numCache>
            </c:numRef>
          </c:yVal>
          <c:smooth val="0"/>
        </c:ser>
        <c:dLbls>
          <c:showLegendKey val="0"/>
          <c:showVal val="0"/>
          <c:showCatName val="0"/>
          <c:showSerName val="0"/>
          <c:showPercent val="0"/>
          <c:showBubbleSize val="0"/>
        </c:dLbls>
        <c:axId val="124582144"/>
        <c:axId val="124605184"/>
      </c:scatterChart>
      <c:valAx>
        <c:axId val="124582144"/>
        <c:scaling>
          <c:orientation val="minMax"/>
          <c:max val="28"/>
        </c:scaling>
        <c:delete val="0"/>
        <c:axPos val="b"/>
        <c:title>
          <c:tx>
            <c:rich>
              <a:bodyPr/>
              <a:lstStyle/>
              <a:p>
                <a:pPr>
                  <a:defRPr sz="2000"/>
                </a:pPr>
                <a:r>
                  <a:rPr lang="lv-LV" sz="2000"/>
                  <a:t>Vecums</a:t>
                </a:r>
                <a:r>
                  <a:rPr lang="en-US" sz="2000"/>
                  <a:t>, m</a:t>
                </a:r>
                <a:r>
                  <a:rPr lang="lv-LV" sz="2000"/>
                  <a:t>ēnešos</a:t>
                </a:r>
                <a:endParaRPr lang="en-US" sz="2000"/>
              </a:p>
            </c:rich>
          </c:tx>
          <c:layout>
            <c:manualLayout>
              <c:xMode val="edge"/>
              <c:yMode val="edge"/>
              <c:x val="0.47265008994313712"/>
              <c:y val="0.94060670445916761"/>
            </c:manualLayout>
          </c:layout>
          <c:overlay val="0"/>
        </c:title>
        <c:numFmt formatCode="General" sourceLinked="1"/>
        <c:majorTickMark val="out"/>
        <c:minorTickMark val="none"/>
        <c:tickLblPos val="nextTo"/>
        <c:txPr>
          <a:bodyPr/>
          <a:lstStyle/>
          <a:p>
            <a:pPr>
              <a:defRPr sz="1800"/>
            </a:pPr>
            <a:endParaRPr lang="lv-LV"/>
          </a:p>
        </c:txPr>
        <c:crossAx val="124605184"/>
        <c:crosses val="autoZero"/>
        <c:crossBetween val="midCat"/>
        <c:majorUnit val="2"/>
      </c:valAx>
      <c:valAx>
        <c:axId val="124605184"/>
        <c:scaling>
          <c:orientation val="minMax"/>
          <c:min val="20"/>
        </c:scaling>
        <c:delete val="0"/>
        <c:axPos val="l"/>
        <c:majorGridlines/>
        <c:title>
          <c:tx>
            <c:rich>
              <a:bodyPr rot="-5400000" vert="horz"/>
              <a:lstStyle/>
              <a:p>
                <a:pPr>
                  <a:defRPr sz="2000"/>
                </a:pPr>
                <a:r>
                  <a:rPr lang="lv-LV" sz="2000"/>
                  <a:t>Augstums</a:t>
                </a:r>
                <a:r>
                  <a:rPr lang="en-US" sz="2000"/>
                  <a:t>, cm</a:t>
                </a:r>
              </a:p>
            </c:rich>
          </c:tx>
          <c:layout>
            <c:manualLayout>
              <c:xMode val="edge"/>
              <c:yMode val="edge"/>
              <c:x val="4.3939396385713628E-3"/>
              <c:y val="0.31022114590898525"/>
            </c:manualLayout>
          </c:layout>
          <c:overlay val="0"/>
        </c:title>
        <c:numFmt formatCode="0" sourceLinked="0"/>
        <c:majorTickMark val="out"/>
        <c:minorTickMark val="none"/>
        <c:tickLblPos val="nextTo"/>
        <c:txPr>
          <a:bodyPr/>
          <a:lstStyle/>
          <a:p>
            <a:pPr>
              <a:defRPr sz="1800"/>
            </a:pPr>
            <a:endParaRPr lang="lv-LV"/>
          </a:p>
        </c:txPr>
        <c:crossAx val="124582144"/>
        <c:crosses val="autoZero"/>
        <c:crossBetween val="midCat"/>
      </c:valAx>
      <c:spPr>
        <a:ln>
          <a:solidFill>
            <a:schemeClr val="tx1">
              <a:lumMod val="50000"/>
              <a:lumOff val="50000"/>
            </a:schemeClr>
          </a:solidFill>
        </a:ln>
      </c:spPr>
    </c:plotArea>
    <c:legend>
      <c:legendPos val="r"/>
      <c:legendEntry>
        <c:idx val="0"/>
        <c:delete val="1"/>
      </c:legendEntry>
      <c:layout>
        <c:manualLayout>
          <c:xMode val="edge"/>
          <c:yMode val="edge"/>
          <c:x val="0.15105499528660596"/>
          <c:y val="0.13745416376778599"/>
          <c:w val="0.15790918469386683"/>
          <c:h val="8.2842599220551982E-2"/>
        </c:manualLayout>
      </c:layout>
      <c:overlay val="1"/>
      <c:txPr>
        <a:bodyPr/>
        <a:lstStyle/>
        <a:p>
          <a:pPr>
            <a:defRPr sz="1200"/>
          </a:pPr>
          <a:endParaRPr lang="lv-LV"/>
        </a:p>
      </c:txPr>
    </c:legend>
    <c:plotVisOnly val="1"/>
    <c:dispBlanksAs val="gap"/>
    <c:showDLblsOverMax val="0"/>
  </c:chart>
  <c:spPr>
    <a:ln>
      <a:noFill/>
    </a:ln>
  </c:sp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2400"/>
            </a:pPr>
            <a:r>
              <a:rPr lang="lv-LV" sz="2400" b="1" i="0" baseline="0">
                <a:latin typeface="+mn-lt"/>
              </a:rPr>
              <a:t>Telīšu augšanas diagramma</a:t>
            </a:r>
            <a:endParaRPr lang="en-US" sz="2400">
              <a:latin typeface="+mn-lt"/>
            </a:endParaRPr>
          </a:p>
          <a:p>
            <a:pPr algn="ctr">
              <a:defRPr sz="2400"/>
            </a:pPr>
            <a:r>
              <a:rPr lang="lv-LV" sz="1400" b="1" i="0" baseline="0">
                <a:latin typeface="+mn-lt"/>
              </a:rPr>
              <a:t>Balstīta uz pieaugušas govs lielumu un plānotās atnešanās vecumu</a:t>
            </a:r>
            <a:endParaRPr lang="en-US" sz="1400" baseline="0">
              <a:latin typeface="+mn-lt"/>
            </a:endParaRPr>
          </a:p>
        </c:rich>
      </c:tx>
      <c:layout>
        <c:manualLayout>
          <c:xMode val="edge"/>
          <c:yMode val="edge"/>
          <c:x val="0.12124966872462963"/>
          <c:y val="4.0382944787929129E-3"/>
        </c:manualLayout>
      </c:layout>
      <c:overlay val="0"/>
    </c:title>
    <c:autoTitleDeleted val="0"/>
    <c:plotArea>
      <c:layout>
        <c:manualLayout>
          <c:layoutTarget val="inner"/>
          <c:xMode val="edge"/>
          <c:yMode val="edge"/>
          <c:x val="0.12301681667953325"/>
          <c:y val="0.12570701950973198"/>
          <c:w val="0.84751080436312465"/>
          <c:h val="0.74038981306830343"/>
        </c:manualLayout>
      </c:layout>
      <c:scatterChart>
        <c:scatterStyle val="lineMarker"/>
        <c:varyColors val="0"/>
        <c:ser>
          <c:idx val="1"/>
          <c:order val="0"/>
          <c:tx>
            <c:v>Your Heifers BW</c:v>
          </c:tx>
          <c:spPr>
            <a:ln>
              <a:noFill/>
            </a:ln>
          </c:spPr>
          <c:marker>
            <c:symbol val="square"/>
            <c:size val="7"/>
            <c:spPr>
              <a:solidFill>
                <a:schemeClr val="accent3">
                  <a:lumMod val="50000"/>
                </a:schemeClr>
              </a:solidFill>
              <a:ln>
                <a:solidFill>
                  <a:schemeClr val="accent3">
                    <a:lumMod val="50000"/>
                  </a:schemeClr>
                </a:solidFill>
              </a:ln>
            </c:spPr>
          </c:marker>
          <c:xVal>
            <c:numRef>
              <c:f>'Telīšu datu ievade'!$H$2:$H$56</c:f>
              <c:numCache>
                <c:formatCode>0.0</c:formatCode>
                <c:ptCount val="55"/>
                <c:pt idx="0">
                  <c:v>31.080796930032065</c:v>
                </c:pt>
                <c:pt idx="1">
                  <c:v>19.055879724543971</c:v>
                </c:pt>
                <c:pt idx="2">
                  <c:v>15.080428954423592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xVal>
          <c:yVal>
            <c:numRef>
              <c:f>'Telīšu datu ievade'!$I$2:$I$56</c:f>
              <c:numCache>
                <c:formatCode>0.0</c:formatCode>
                <c:ptCount val="55"/>
                <c:pt idx="0">
                  <c:v>80.542633949896015</c:v>
                </c:pt>
                <c:pt idx="1">
                  <c:v>63.199512040976799</c:v>
                </c:pt>
                <c:pt idx="2">
                  <c:v>58.790243759048188</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yVal>
          <c:smooth val="0"/>
        </c:ser>
        <c:ser>
          <c:idx val="0"/>
          <c:order val="1"/>
          <c:tx>
            <c:v>Target % of MBW</c:v>
          </c:tx>
          <c:spPr>
            <a:ln w="101600">
              <a:solidFill>
                <a:schemeClr val="accent3">
                  <a:lumMod val="60000"/>
                  <a:lumOff val="40000"/>
                </a:schemeClr>
              </a:solidFill>
            </a:ln>
            <a:effectLst>
              <a:outerShdw blurRad="50800" dist="38100" dir="2700000" algn="tl" rotWithShape="0">
                <a:prstClr val="black">
                  <a:alpha val="40000"/>
                </a:prstClr>
              </a:outerShdw>
            </a:effectLst>
          </c:spPr>
          <c:marker>
            <c:symbol val="none"/>
          </c:marker>
          <c:xVal>
            <c:numRef>
              <c:f>'Izmēru tabula'!$A$6:$A$34</c:f>
              <c:numCache>
                <c:formatCode>General</c:formatCode>
                <c:ptCount val="2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numCache>
            </c:numRef>
          </c:xVal>
          <c:yVal>
            <c:numRef>
              <c:f>'Izmēru tabula'!$D$6:$D$34</c:f>
              <c:numCache>
                <c:formatCode>0.00</c:formatCode>
                <c:ptCount val="29"/>
                <c:pt idx="0">
                  <c:v>6.3235294117647056</c:v>
                </c:pt>
                <c:pt idx="1">
                  <c:v>9.9043294117647065</c:v>
                </c:pt>
                <c:pt idx="2">
                  <c:v>13.485129411764706</c:v>
                </c:pt>
                <c:pt idx="3">
                  <c:v>16.728324171647419</c:v>
                </c:pt>
                <c:pt idx="4">
                  <c:v>19.971518931530134</c:v>
                </c:pt>
                <c:pt idx="5">
                  <c:v>23.214713691412843</c:v>
                </c:pt>
                <c:pt idx="6">
                  <c:v>26.457908451295559</c:v>
                </c:pt>
                <c:pt idx="7">
                  <c:v>29.701103211178271</c:v>
                </c:pt>
                <c:pt idx="8">
                  <c:v>32.94429797106099</c:v>
                </c:pt>
                <c:pt idx="9">
                  <c:v>36.187492730943696</c:v>
                </c:pt>
                <c:pt idx="10">
                  <c:v>39.430687490826415</c:v>
                </c:pt>
                <c:pt idx="11">
                  <c:v>42.673882250709127</c:v>
                </c:pt>
                <c:pt idx="12">
                  <c:v>45.917077010591839</c:v>
                </c:pt>
                <c:pt idx="13">
                  <c:v>49.160271770474559</c:v>
                </c:pt>
                <c:pt idx="14">
                  <c:v>52.403466530357271</c:v>
                </c:pt>
                <c:pt idx="15">
                  <c:v>56.782623297023939</c:v>
                </c:pt>
                <c:pt idx="16">
                  <c:v>61.1617800636906</c:v>
                </c:pt>
                <c:pt idx="17">
                  <c:v>65.540936830357268</c:v>
                </c:pt>
                <c:pt idx="18">
                  <c:v>69.920093597023936</c:v>
                </c:pt>
                <c:pt idx="19">
                  <c:v>74.299250363690604</c:v>
                </c:pt>
                <c:pt idx="20">
                  <c:v>78.678407130357272</c:v>
                </c:pt>
                <c:pt idx="21">
                  <c:v>83.05756389702394</c:v>
                </c:pt>
                <c:pt idx="22">
                  <c:v>87.436720663690608</c:v>
                </c:pt>
                <c:pt idx="23">
                  <c:v>91.815877430357276</c:v>
                </c:pt>
                <c:pt idx="24">
                  <c:v>96.195034197023944</c:v>
                </c:pt>
                <c:pt idx="25">
                  <c:v>86.30260377073219</c:v>
                </c:pt>
                <c:pt idx="26">
                  <c:v>87.605207541464381</c:v>
                </c:pt>
                <c:pt idx="27">
                  <c:v>88.9078113121966</c:v>
                </c:pt>
                <c:pt idx="28">
                  <c:v>90.210415082928762</c:v>
                </c:pt>
              </c:numCache>
            </c:numRef>
          </c:yVal>
          <c:smooth val="0"/>
        </c:ser>
        <c:ser>
          <c:idx val="4"/>
          <c:order val="2"/>
          <c:tx>
            <c:v>Target % of MHt</c:v>
          </c:tx>
          <c:spPr>
            <a:ln>
              <a:noFill/>
            </a:ln>
          </c:spPr>
          <c:marker>
            <c:symbol val="none"/>
          </c:marker>
          <c:trendline>
            <c:name>Target % of MHt</c:name>
            <c:spPr>
              <a:ln w="101600">
                <a:solidFill>
                  <a:srgbClr val="4F81BD">
                    <a:alpha val="50000"/>
                  </a:srgbClr>
                </a:solidFill>
              </a:ln>
              <a:effectLst>
                <a:outerShdw blurRad="50800" dist="38100" dir="2700000" algn="tl" rotWithShape="0">
                  <a:prstClr val="black">
                    <a:alpha val="40000"/>
                  </a:prstClr>
                </a:outerShdw>
              </a:effectLst>
            </c:spPr>
            <c:trendlineType val="poly"/>
            <c:order val="2"/>
            <c:dispRSqr val="0"/>
            <c:dispEq val="0"/>
          </c:trendline>
          <c:xVal>
            <c:numRef>
              <c:f>'Izmēru tabula'!$A$6:$A$34</c:f>
              <c:numCache>
                <c:formatCode>General</c:formatCode>
                <c:ptCount val="2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numCache>
            </c:numRef>
          </c:xVal>
          <c:yVal>
            <c:numRef>
              <c:f>'Izmēru tabula'!$F$6:$F$34</c:f>
              <c:numCache>
                <c:formatCode>0.0</c:formatCode>
                <c:ptCount val="29"/>
                <c:pt idx="0">
                  <c:v>55.000000000000007</c:v>
                </c:pt>
                <c:pt idx="1">
                  <c:v>58.416666666666686</c:v>
                </c:pt>
                <c:pt idx="2">
                  <c:v>61.83333333333335</c:v>
                </c:pt>
                <c:pt idx="3">
                  <c:v>65.250000000000014</c:v>
                </c:pt>
                <c:pt idx="4">
                  <c:v>68.6666666666667</c:v>
                </c:pt>
                <c:pt idx="5">
                  <c:v>72.083333333333371</c:v>
                </c:pt>
                <c:pt idx="6">
                  <c:v>75.500000000000028</c:v>
                </c:pt>
                <c:pt idx="7">
                  <c:v>77.208333333333385</c:v>
                </c:pt>
                <c:pt idx="8">
                  <c:v>78.916666666666714</c:v>
                </c:pt>
                <c:pt idx="9">
                  <c:v>80.625000000000043</c:v>
                </c:pt>
                <c:pt idx="10">
                  <c:v>82.333333333333385</c:v>
                </c:pt>
                <c:pt idx="11">
                  <c:v>84.041666666666714</c:v>
                </c:pt>
                <c:pt idx="12">
                  <c:v>85.750000000000057</c:v>
                </c:pt>
                <c:pt idx="13">
                  <c:v>86.604166666666714</c:v>
                </c:pt>
                <c:pt idx="14">
                  <c:v>87.4583333333334</c:v>
                </c:pt>
                <c:pt idx="15">
                  <c:v>88.312500000000057</c:v>
                </c:pt>
                <c:pt idx="16">
                  <c:v>89.166666666666742</c:v>
                </c:pt>
                <c:pt idx="17">
                  <c:v>90.0208333333334</c:v>
                </c:pt>
                <c:pt idx="18">
                  <c:v>90.875000000000085</c:v>
                </c:pt>
                <c:pt idx="19">
                  <c:v>91.729166666666757</c:v>
                </c:pt>
                <c:pt idx="20">
                  <c:v>92.583333333333428</c:v>
                </c:pt>
                <c:pt idx="21">
                  <c:v>93.437500000000099</c:v>
                </c:pt>
                <c:pt idx="22">
                  <c:v>94.291666666666771</c:v>
                </c:pt>
                <c:pt idx="23">
                  <c:v>95.145833333333456</c:v>
                </c:pt>
                <c:pt idx="24">
                  <c:v>96.000000000000114</c:v>
                </c:pt>
                <c:pt idx="25">
                  <c:v>96.07407407407419</c:v>
                </c:pt>
                <c:pt idx="26">
                  <c:v>96.148148148148266</c:v>
                </c:pt>
                <c:pt idx="27">
                  <c:v>96.222222222222328</c:v>
                </c:pt>
                <c:pt idx="28">
                  <c:v>96.296296296296404</c:v>
                </c:pt>
              </c:numCache>
            </c:numRef>
          </c:yVal>
          <c:smooth val="0"/>
        </c:ser>
        <c:ser>
          <c:idx val="5"/>
          <c:order val="3"/>
          <c:tx>
            <c:v>Your Heifers Ht</c:v>
          </c:tx>
          <c:spPr>
            <a:ln>
              <a:noFill/>
            </a:ln>
          </c:spPr>
          <c:marker>
            <c:symbol val="circle"/>
            <c:size val="8"/>
            <c:spPr>
              <a:solidFill>
                <a:schemeClr val="accent1">
                  <a:lumMod val="75000"/>
                </a:schemeClr>
              </a:solidFill>
              <a:ln>
                <a:solidFill>
                  <a:schemeClr val="accent1">
                    <a:lumMod val="75000"/>
                  </a:schemeClr>
                </a:solidFill>
              </a:ln>
            </c:spPr>
          </c:marker>
          <c:xVal>
            <c:numRef>
              <c:f>'Telīšu datu ievade'!$H$2:$H$26</c:f>
              <c:numCache>
                <c:formatCode>0.0</c:formatCode>
                <c:ptCount val="25"/>
                <c:pt idx="0">
                  <c:v>31.080796930032065</c:v>
                </c:pt>
                <c:pt idx="1">
                  <c:v>19.055879724543971</c:v>
                </c:pt>
                <c:pt idx="2">
                  <c:v>15.080428954423592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xVal>
          <c:yVal>
            <c:numRef>
              <c:f>'Telīšu datu ievade'!$J$2:$J$26</c:f>
              <c:numCache>
                <c:formatCode>0.0</c:formatCode>
                <c:ptCount val="25"/>
                <c:pt idx="0">
                  <c:v>85.833333333333329</c:v>
                </c:pt>
                <c:pt idx="1">
                  <c:v>83.75</c:v>
                </c:pt>
                <c:pt idx="2">
                  <c:v>88.75</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dLbls>
          <c:showLegendKey val="0"/>
          <c:showVal val="0"/>
          <c:showCatName val="0"/>
          <c:showSerName val="0"/>
          <c:showPercent val="0"/>
          <c:showBubbleSize val="0"/>
        </c:dLbls>
        <c:axId val="141742848"/>
        <c:axId val="141745152"/>
      </c:scatterChart>
      <c:valAx>
        <c:axId val="141742848"/>
        <c:scaling>
          <c:orientation val="minMax"/>
          <c:max val="28"/>
        </c:scaling>
        <c:delete val="0"/>
        <c:axPos val="b"/>
        <c:title>
          <c:tx>
            <c:rich>
              <a:bodyPr/>
              <a:lstStyle/>
              <a:p>
                <a:pPr>
                  <a:defRPr sz="2000"/>
                </a:pPr>
                <a:r>
                  <a:rPr lang="lv-LV" sz="2000"/>
                  <a:t>Vecums</a:t>
                </a:r>
                <a:r>
                  <a:rPr lang="en-US" sz="2000"/>
                  <a:t>, m</a:t>
                </a:r>
                <a:r>
                  <a:rPr lang="lv-LV" sz="2000"/>
                  <a:t>ēn.</a:t>
                </a:r>
                <a:endParaRPr lang="en-US" sz="2000"/>
              </a:p>
            </c:rich>
          </c:tx>
          <c:layout>
            <c:manualLayout>
              <c:xMode val="edge"/>
              <c:yMode val="edge"/>
              <c:x val="0.46532685721218514"/>
              <c:y val="0.94464499893796039"/>
            </c:manualLayout>
          </c:layout>
          <c:overlay val="0"/>
        </c:title>
        <c:numFmt formatCode="0" sourceLinked="0"/>
        <c:majorTickMark val="out"/>
        <c:minorTickMark val="none"/>
        <c:tickLblPos val="nextTo"/>
        <c:txPr>
          <a:bodyPr/>
          <a:lstStyle/>
          <a:p>
            <a:pPr>
              <a:defRPr sz="1800"/>
            </a:pPr>
            <a:endParaRPr lang="lv-LV"/>
          </a:p>
        </c:txPr>
        <c:crossAx val="141745152"/>
        <c:crosses val="autoZero"/>
        <c:crossBetween val="midCat"/>
        <c:majorUnit val="2"/>
      </c:valAx>
      <c:valAx>
        <c:axId val="141745152"/>
        <c:scaling>
          <c:orientation val="minMax"/>
          <c:max val="100"/>
        </c:scaling>
        <c:delete val="0"/>
        <c:axPos val="l"/>
        <c:majorGridlines/>
        <c:title>
          <c:tx>
            <c:rich>
              <a:bodyPr rot="-5400000" vert="horz"/>
              <a:lstStyle/>
              <a:p>
                <a:pPr>
                  <a:defRPr sz="2000"/>
                </a:pPr>
                <a:r>
                  <a:rPr lang="en-US" sz="2000"/>
                  <a:t>P</a:t>
                </a:r>
                <a:r>
                  <a:rPr lang="lv-LV" sz="2000"/>
                  <a:t>rocenti</a:t>
                </a:r>
                <a:r>
                  <a:rPr lang="lv-LV" sz="2000" baseline="0"/>
                  <a:t> no pieaugušas govs</a:t>
                </a:r>
                <a:endParaRPr lang="en-US" sz="2000"/>
              </a:p>
            </c:rich>
          </c:tx>
          <c:layout>
            <c:manualLayout>
              <c:xMode val="edge"/>
              <c:yMode val="edge"/>
              <c:x val="0"/>
              <c:y val="0.21532122565735171"/>
            </c:manualLayout>
          </c:layout>
          <c:overlay val="0"/>
        </c:title>
        <c:numFmt formatCode="0" sourceLinked="0"/>
        <c:majorTickMark val="out"/>
        <c:minorTickMark val="none"/>
        <c:tickLblPos val="nextTo"/>
        <c:txPr>
          <a:bodyPr/>
          <a:lstStyle/>
          <a:p>
            <a:pPr>
              <a:defRPr sz="1800"/>
            </a:pPr>
            <a:endParaRPr lang="lv-LV"/>
          </a:p>
        </c:txPr>
        <c:crossAx val="141742848"/>
        <c:crosses val="autoZero"/>
        <c:crossBetween val="midCat"/>
      </c:valAx>
      <c:spPr>
        <a:ln>
          <a:solidFill>
            <a:schemeClr val="tx1">
              <a:lumMod val="50000"/>
              <a:lumOff val="50000"/>
            </a:schemeClr>
          </a:solidFill>
        </a:ln>
      </c:spPr>
    </c:plotArea>
    <c:legend>
      <c:legendPos val="r"/>
      <c:legendEntry>
        <c:idx val="2"/>
        <c:delete val="1"/>
      </c:legendEntry>
      <c:layout>
        <c:manualLayout>
          <c:xMode val="edge"/>
          <c:yMode val="edge"/>
          <c:x val="0.6783277519151697"/>
          <c:y val="2.0343623882791532E-2"/>
          <c:w val="0.31066617891245768"/>
          <c:h val="8.5808670059258005E-2"/>
        </c:manualLayout>
      </c:layout>
      <c:overlay val="1"/>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1</xdr:rowOff>
    </xdr:from>
    <xdr:to>
      <xdr:col>0</xdr:col>
      <xdr:colOff>1590675</xdr:colOff>
      <xdr:row>17</xdr:row>
      <xdr:rowOff>114699</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4743451"/>
          <a:ext cx="1590675" cy="114698"/>
        </a:xfrm>
        <a:prstGeom prst="rect">
          <a:avLst/>
        </a:prstGeom>
      </xdr:spPr>
    </xdr:pic>
    <xdr:clientData/>
  </xdr:twoCellAnchor>
  <xdr:twoCellAnchor editAs="oneCell">
    <xdr:from>
      <xdr:col>0</xdr:col>
      <xdr:colOff>0</xdr:colOff>
      <xdr:row>0</xdr:row>
      <xdr:rowOff>0</xdr:rowOff>
    </xdr:from>
    <xdr:to>
      <xdr:col>0</xdr:col>
      <xdr:colOff>1524132</xdr:colOff>
      <xdr:row>1</xdr:row>
      <xdr:rowOff>30549</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1524132" cy="7925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238125</xdr:colOff>
      <xdr:row>1</xdr:row>
      <xdr:rowOff>40767</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847725" cy="4408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732692</xdr:colOff>
      <xdr:row>1</xdr:row>
      <xdr:rowOff>0</xdr:rowOff>
    </xdr:to>
    <xdr:pic>
      <xdr:nvPicPr>
        <xdr:cNvPr id="3" name="Picture 2"/>
        <xdr:cNvPicPr>
          <a:picLocks noChangeAspect="1"/>
        </xdr:cNvPicPr>
      </xdr:nvPicPr>
      <xdr:blipFill>
        <a:blip xmlns:r="http://schemas.openxmlformats.org/officeDocument/2006/relationships" r:embed="rId1"/>
        <a:stretch>
          <a:fillRect/>
        </a:stretch>
      </xdr:blipFill>
      <xdr:spPr>
        <a:xfrm>
          <a:off x="819150" y="0"/>
          <a:ext cx="732692" cy="381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workbookViewId="0">
      <selection activeCell="A3" sqref="A3"/>
    </sheetView>
  </sheetViews>
  <sheetFormatPr defaultRowHeight="15" x14ac:dyDescent="0.25"/>
  <cols>
    <col min="1" max="1" width="82.140625" customWidth="1"/>
  </cols>
  <sheetData>
    <row r="1" spans="1:1" ht="60" customHeight="1" x14ac:dyDescent="0.25"/>
    <row r="2" spans="1:1" s="36" customFormat="1" ht="27.75" x14ac:dyDescent="0.4">
      <c r="A2" s="37" t="s">
        <v>57</v>
      </c>
    </row>
    <row r="3" spans="1:1" x14ac:dyDescent="0.25">
      <c r="A3" s="35"/>
    </row>
    <row r="4" spans="1:1" x14ac:dyDescent="0.25">
      <c r="A4" s="38" t="s">
        <v>44</v>
      </c>
    </row>
    <row r="5" spans="1:1" ht="60" x14ac:dyDescent="0.25">
      <c r="A5" s="35" t="s">
        <v>45</v>
      </c>
    </row>
    <row r="6" spans="1:1" x14ac:dyDescent="0.25">
      <c r="A6" s="35"/>
    </row>
    <row r="7" spans="1:1" ht="30" x14ac:dyDescent="0.25">
      <c r="A7" s="63" t="s">
        <v>59</v>
      </c>
    </row>
    <row r="8" spans="1:1" x14ac:dyDescent="0.25">
      <c r="A8" s="35"/>
    </row>
    <row r="9" spans="1:1" ht="45" x14ac:dyDescent="0.25">
      <c r="A9" s="35" t="s">
        <v>60</v>
      </c>
    </row>
    <row r="10" spans="1:1" x14ac:dyDescent="0.25">
      <c r="A10" s="35"/>
    </row>
    <row r="11" spans="1:1" x14ac:dyDescent="0.25">
      <c r="A11" s="60"/>
    </row>
    <row r="12" spans="1:1" x14ac:dyDescent="0.25">
      <c r="A12" s="35"/>
    </row>
    <row r="13" spans="1:1" x14ac:dyDescent="0.25">
      <c r="A13" s="35"/>
    </row>
    <row r="14" spans="1:1" x14ac:dyDescent="0.25">
      <c r="A14" s="38"/>
    </row>
    <row r="15" spans="1:1" x14ac:dyDescent="0.25">
      <c r="A15" s="35"/>
    </row>
    <row r="16" spans="1:1" x14ac:dyDescent="0.25">
      <c r="A16" s="61"/>
    </row>
    <row r="17" spans="1:1" x14ac:dyDescent="0.25">
      <c r="A17" s="35" t="s">
        <v>61</v>
      </c>
    </row>
    <row r="18" spans="1:1" x14ac:dyDescent="0.25">
      <c r="A18" s="35"/>
    </row>
    <row r="19" spans="1:1" x14ac:dyDescent="0.25">
      <c r="A19" s="62"/>
    </row>
    <row r="20" spans="1:1" x14ac:dyDescent="0.25">
      <c r="A20" s="62"/>
    </row>
    <row r="21" spans="1:1" x14ac:dyDescent="0.25">
      <c r="A21" s="62"/>
    </row>
    <row r="22" spans="1:1" x14ac:dyDescent="0.25">
      <c r="A22" s="35"/>
    </row>
    <row r="24" spans="1:1" x14ac:dyDescent="0.25">
      <c r="A24" s="39"/>
    </row>
  </sheetData>
  <printOptions horizontalCentered="1"/>
  <pageMargins left="0.7" right="0.7" top="0.75" bottom="0.75" header="0.3" footer="0.3"/>
  <pageSetup scale="84"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5"/>
  <sheetViews>
    <sheetView workbookViewId="0"/>
  </sheetViews>
  <sheetFormatPr defaultRowHeight="15" x14ac:dyDescent="0.25"/>
  <sheetData>
    <row r="1" spans="1:9" ht="31.5" customHeight="1" x14ac:dyDescent="0.25"/>
    <row r="2" spans="1:9" ht="27.75" x14ac:dyDescent="0.45">
      <c r="A2" s="67" t="s">
        <v>0</v>
      </c>
      <c r="B2" s="68"/>
      <c r="C2" s="68"/>
      <c r="D2" s="68"/>
      <c r="E2" s="68"/>
      <c r="F2" s="68"/>
      <c r="G2" s="68"/>
      <c r="H2" s="68"/>
      <c r="I2" s="68"/>
    </row>
    <row r="3" spans="1:9" ht="15.75" x14ac:dyDescent="0.25">
      <c r="A3" s="69" t="s">
        <v>1</v>
      </c>
      <c r="B3" s="69"/>
      <c r="C3" s="69"/>
      <c r="D3" s="69"/>
      <c r="E3" s="69"/>
      <c r="F3" s="69"/>
      <c r="G3" s="69"/>
      <c r="H3" s="69"/>
      <c r="I3" s="69"/>
    </row>
    <row r="4" spans="1:9" ht="15.75" thickBot="1" x14ac:dyDescent="0.3"/>
    <row r="5" spans="1:9" ht="19.5" thickBot="1" x14ac:dyDescent="0.3">
      <c r="A5" s="17" t="s">
        <v>2</v>
      </c>
      <c r="B5" s="10"/>
      <c r="C5" s="10"/>
      <c r="D5" s="10"/>
      <c r="E5" s="10"/>
      <c r="F5" s="10"/>
      <c r="G5" s="10"/>
      <c r="H5" s="10"/>
      <c r="I5" s="11"/>
    </row>
    <row r="6" spans="1:9" ht="30" x14ac:dyDescent="0.25">
      <c r="A6" s="4" t="s">
        <v>3</v>
      </c>
      <c r="B6" s="5"/>
      <c r="C6" s="5"/>
      <c r="D6" s="5"/>
      <c r="E6" s="25" t="s">
        <v>4</v>
      </c>
      <c r="F6" s="31">
        <v>680</v>
      </c>
      <c r="G6" s="55" t="s">
        <v>5</v>
      </c>
      <c r="H6" s="33">
        <v>147</v>
      </c>
      <c r="I6" s="6"/>
    </row>
    <row r="7" spans="1:9" x14ac:dyDescent="0.25">
      <c r="A7" s="4"/>
      <c r="B7" s="5"/>
      <c r="C7" s="5"/>
      <c r="D7" s="5"/>
      <c r="E7" s="5"/>
      <c r="F7" s="26"/>
      <c r="G7" s="5"/>
      <c r="H7" s="5"/>
      <c r="I7" s="6"/>
    </row>
    <row r="8" spans="1:9" x14ac:dyDescent="0.25">
      <c r="A8" s="4" t="s">
        <v>6</v>
      </c>
      <c r="B8" s="5"/>
      <c r="C8" s="5"/>
      <c r="D8" s="5"/>
      <c r="E8" s="5"/>
      <c r="F8" s="31">
        <v>43</v>
      </c>
      <c r="G8" s="5"/>
      <c r="H8" s="30">
        <f>H6*0.55</f>
        <v>80.850000000000009</v>
      </c>
      <c r="I8" s="6"/>
    </row>
    <row r="9" spans="1:9" x14ac:dyDescent="0.25">
      <c r="A9" s="4"/>
      <c r="B9" s="5"/>
      <c r="C9" s="5"/>
      <c r="D9" s="5"/>
      <c r="E9" s="5"/>
      <c r="F9" s="26"/>
      <c r="G9" s="5"/>
      <c r="H9" s="5"/>
      <c r="I9" s="6"/>
    </row>
    <row r="10" spans="1:9" x14ac:dyDescent="0.25">
      <c r="A10" s="4" t="s">
        <v>7</v>
      </c>
      <c r="B10" s="5"/>
      <c r="C10" s="5"/>
      <c r="D10" s="5"/>
      <c r="E10" s="5"/>
      <c r="F10" s="26"/>
      <c r="G10" s="5"/>
      <c r="H10" s="5"/>
      <c r="I10" s="6"/>
    </row>
    <row r="11" spans="1:9" x14ac:dyDescent="0.25">
      <c r="A11" s="16" t="s">
        <v>8</v>
      </c>
      <c r="B11" s="5"/>
      <c r="C11" s="5"/>
      <c r="D11" s="5"/>
      <c r="E11" s="5"/>
      <c r="F11" s="26"/>
      <c r="G11" s="5"/>
      <c r="H11" s="5"/>
      <c r="I11" s="6"/>
    </row>
    <row r="12" spans="1:9" x14ac:dyDescent="0.25">
      <c r="A12" s="4" t="s">
        <v>9</v>
      </c>
      <c r="B12" s="5"/>
      <c r="C12" s="5"/>
      <c r="D12" s="5"/>
      <c r="E12" s="5"/>
      <c r="F12" s="51">
        <v>800</v>
      </c>
      <c r="G12" s="5"/>
      <c r="H12" s="5"/>
      <c r="I12" s="6"/>
    </row>
    <row r="13" spans="1:9" x14ac:dyDescent="0.25">
      <c r="A13" s="4"/>
      <c r="B13" s="5"/>
      <c r="C13" s="5"/>
      <c r="D13" s="5"/>
      <c r="E13" s="5"/>
      <c r="F13" s="26"/>
      <c r="G13" s="5"/>
      <c r="H13" s="5"/>
      <c r="I13" s="6"/>
    </row>
    <row r="14" spans="1:9" x14ac:dyDescent="0.25">
      <c r="A14" s="4" t="s">
        <v>10</v>
      </c>
      <c r="B14" s="5"/>
      <c r="C14" s="5"/>
      <c r="D14" s="5"/>
      <c r="E14" s="5"/>
      <c r="F14" s="31">
        <v>1.2</v>
      </c>
      <c r="G14" s="5"/>
      <c r="H14" s="5"/>
      <c r="I14" s="6"/>
    </row>
    <row r="15" spans="1:9" x14ac:dyDescent="0.25">
      <c r="A15" s="4"/>
      <c r="B15" s="5"/>
      <c r="C15" s="5"/>
      <c r="D15" s="5"/>
      <c r="E15" s="5"/>
      <c r="F15" s="26"/>
      <c r="G15" s="5"/>
      <c r="H15" s="5"/>
      <c r="I15" s="6"/>
    </row>
    <row r="16" spans="1:9" ht="15.75" thickBot="1" x14ac:dyDescent="0.3">
      <c r="A16" s="7" t="s">
        <v>11</v>
      </c>
      <c r="B16" s="8"/>
      <c r="C16" s="8"/>
      <c r="D16" s="8"/>
      <c r="E16" s="8"/>
      <c r="F16" s="32">
        <v>24</v>
      </c>
      <c r="G16" s="8"/>
      <c r="H16" s="8"/>
      <c r="I16" s="9"/>
    </row>
    <row r="18" spans="1:9" ht="15.75" thickBot="1" x14ac:dyDescent="0.3"/>
    <row r="19" spans="1:9" ht="19.5" thickBot="1" x14ac:dyDescent="0.3">
      <c r="A19" s="18" t="s">
        <v>12</v>
      </c>
      <c r="B19" s="12"/>
      <c r="C19" s="12"/>
      <c r="D19" s="12"/>
      <c r="E19" s="12"/>
      <c r="F19" s="12"/>
      <c r="G19" s="12"/>
      <c r="H19" s="12"/>
      <c r="I19" s="13"/>
    </row>
    <row r="20" spans="1:9" x14ac:dyDescent="0.25">
      <c r="A20" s="4" t="s">
        <v>13</v>
      </c>
      <c r="B20" s="5"/>
      <c r="C20" s="5"/>
      <c r="D20" s="5"/>
      <c r="E20" s="5"/>
      <c r="F20" s="5"/>
      <c r="G20" s="15">
        <f>IF(F12&gt;0,((F12/1000)*60.8736)+F8,F8*2)</f>
        <v>91.698880000000003</v>
      </c>
      <c r="H20" s="5"/>
      <c r="I20" s="6"/>
    </row>
    <row r="21" spans="1:9" x14ac:dyDescent="0.25">
      <c r="A21" s="4" t="s">
        <v>14</v>
      </c>
      <c r="B21" s="5"/>
      <c r="C21" s="5"/>
      <c r="D21" s="5"/>
      <c r="E21" s="5"/>
      <c r="F21" s="5"/>
      <c r="G21" s="15">
        <f>((G20-F8)/60.8736)*1000</f>
        <v>800</v>
      </c>
      <c r="H21" s="5"/>
      <c r="I21" s="6"/>
    </row>
    <row r="22" spans="1:9" x14ac:dyDescent="0.25">
      <c r="A22" s="4"/>
      <c r="B22" s="5"/>
      <c r="C22" s="5"/>
      <c r="D22" s="5"/>
      <c r="E22" s="5"/>
      <c r="F22" s="5"/>
      <c r="G22" s="5"/>
      <c r="H22" s="5"/>
      <c r="I22" s="6"/>
    </row>
    <row r="23" spans="1:9" x14ac:dyDescent="0.25">
      <c r="A23" s="4" t="s">
        <v>15</v>
      </c>
      <c r="B23" s="5"/>
      <c r="C23" s="5"/>
      <c r="D23" s="5"/>
      <c r="E23" s="5"/>
      <c r="F23" s="5"/>
      <c r="G23" s="14">
        <f>G24/30.4368</f>
        <v>13.972664669084793</v>
      </c>
      <c r="H23" s="5"/>
      <c r="I23" s="6"/>
    </row>
    <row r="24" spans="1:9" x14ac:dyDescent="0.25">
      <c r="A24" s="4" t="s">
        <v>16</v>
      </c>
      <c r="B24" s="5"/>
      <c r="C24" s="5"/>
      <c r="D24" s="5"/>
      <c r="E24" s="5"/>
      <c r="F24" s="5"/>
      <c r="G24" s="15">
        <f>G31-(21*F14)</f>
        <v>425.28320000000002</v>
      </c>
      <c r="H24" s="5"/>
      <c r="I24" s="6"/>
    </row>
    <row r="25" spans="1:9" x14ac:dyDescent="0.25">
      <c r="A25" s="4" t="s">
        <v>17</v>
      </c>
      <c r="B25" s="5"/>
      <c r="C25" s="5"/>
      <c r="D25" s="5"/>
      <c r="E25" s="5"/>
      <c r="F25" s="5"/>
      <c r="G25" s="15">
        <f>G32-((G33/1000)*(21*F14))</f>
        <v>355.74072655293918</v>
      </c>
      <c r="H25" s="5"/>
      <c r="I25" s="6"/>
    </row>
    <row r="26" spans="1:9" x14ac:dyDescent="0.25">
      <c r="A26" s="34" t="s">
        <v>18</v>
      </c>
      <c r="B26" s="5"/>
      <c r="C26" s="5"/>
      <c r="D26" s="5"/>
      <c r="E26" s="5"/>
      <c r="F26" s="5"/>
      <c r="G26" s="15"/>
      <c r="H26" s="5"/>
      <c r="I26" s="6"/>
    </row>
    <row r="27" spans="1:9" x14ac:dyDescent="0.25">
      <c r="A27" s="34" t="s">
        <v>19</v>
      </c>
      <c r="B27" s="5"/>
      <c r="C27" s="5"/>
      <c r="D27" s="5"/>
      <c r="E27" s="5"/>
      <c r="F27" s="5"/>
      <c r="G27" s="15"/>
      <c r="H27" s="5"/>
      <c r="I27" s="6"/>
    </row>
    <row r="28" spans="1:9" x14ac:dyDescent="0.25">
      <c r="A28" s="34" t="s">
        <v>20</v>
      </c>
      <c r="B28" s="5"/>
      <c r="C28" s="5"/>
      <c r="D28" s="5"/>
      <c r="E28" s="5"/>
      <c r="F28" s="5"/>
      <c r="G28" s="15"/>
      <c r="H28" s="5"/>
      <c r="I28" s="6"/>
    </row>
    <row r="29" spans="1:9" x14ac:dyDescent="0.25">
      <c r="A29" s="4"/>
      <c r="B29" s="5"/>
      <c r="C29" s="5"/>
      <c r="D29" s="5"/>
      <c r="E29" s="5"/>
      <c r="F29" s="5"/>
      <c r="G29" s="5"/>
      <c r="H29" s="5"/>
      <c r="I29" s="6"/>
    </row>
    <row r="30" spans="1:9" x14ac:dyDescent="0.25">
      <c r="A30" s="4" t="s">
        <v>21</v>
      </c>
      <c r="B30" s="5"/>
      <c r="C30" s="5"/>
      <c r="D30" s="5"/>
      <c r="E30" s="5"/>
      <c r="F30" s="5"/>
      <c r="G30" s="14">
        <f>G31/30.4368</f>
        <v>14.800609788151185</v>
      </c>
      <c r="H30" s="5"/>
      <c r="I30" s="6"/>
    </row>
    <row r="31" spans="1:9" x14ac:dyDescent="0.25">
      <c r="A31" s="4" t="s">
        <v>22</v>
      </c>
      <c r="B31" s="5"/>
      <c r="C31" s="5"/>
      <c r="D31" s="5"/>
      <c r="E31" s="5"/>
      <c r="F31" s="5"/>
      <c r="G31" s="15">
        <f>(F16*30.4368)-280</f>
        <v>450.48320000000001</v>
      </c>
      <c r="H31" s="5"/>
      <c r="I31" s="6"/>
    </row>
    <row r="32" spans="1:9" ht="30" x14ac:dyDescent="0.25">
      <c r="A32" s="4" t="s">
        <v>23</v>
      </c>
      <c r="B32" s="5"/>
      <c r="C32" s="5"/>
      <c r="D32" s="5"/>
      <c r="E32" s="5"/>
      <c r="F32" s="25" t="s">
        <v>4</v>
      </c>
      <c r="G32" s="15">
        <f>F6*0.55</f>
        <v>374.00000000000006</v>
      </c>
      <c r="H32" s="55" t="s">
        <v>5</v>
      </c>
      <c r="I32" s="52">
        <f>0.85*H6</f>
        <v>124.95</v>
      </c>
    </row>
    <row r="33" spans="1:9" x14ac:dyDescent="0.25">
      <c r="A33" s="4" t="s">
        <v>24</v>
      </c>
      <c r="B33" s="5"/>
      <c r="C33" s="5"/>
      <c r="D33" s="5"/>
      <c r="E33" s="5"/>
      <c r="F33" s="5"/>
      <c r="G33" s="15">
        <f>((G32-G20)/(G31-60.8736))*1000</f>
        <v>724.57434313733563</v>
      </c>
      <c r="H33" s="5"/>
      <c r="I33" s="28">
        <f>(I32-H8)/G31</f>
        <v>9.7894882650451764E-2</v>
      </c>
    </row>
    <row r="34" spans="1:9" x14ac:dyDescent="0.25">
      <c r="A34" s="4"/>
      <c r="B34" s="5"/>
      <c r="C34" s="5"/>
      <c r="D34" s="5"/>
      <c r="E34" s="5"/>
      <c r="F34" s="5"/>
      <c r="G34" s="5"/>
      <c r="H34" s="5"/>
      <c r="I34" s="6"/>
    </row>
    <row r="35" spans="1:9" x14ac:dyDescent="0.25">
      <c r="A35" s="4" t="s">
        <v>25</v>
      </c>
      <c r="B35" s="5"/>
      <c r="C35" s="5"/>
      <c r="D35" s="5"/>
      <c r="E35" s="5"/>
      <c r="F35" s="5"/>
      <c r="G35" s="15">
        <f>((73.195*(F8/45))+G36)</f>
        <v>647.94188888888891</v>
      </c>
      <c r="H35" s="5"/>
      <c r="I35" s="6"/>
    </row>
    <row r="36" spans="1:9" ht="30" x14ac:dyDescent="0.25">
      <c r="A36" s="4" t="s">
        <v>26</v>
      </c>
      <c r="B36" s="5"/>
      <c r="C36" s="5"/>
      <c r="D36" s="5"/>
      <c r="E36" s="5"/>
      <c r="F36" s="25" t="s">
        <v>27</v>
      </c>
      <c r="G36" s="5">
        <f>0.85*F6</f>
        <v>578</v>
      </c>
      <c r="H36" s="55" t="s">
        <v>5</v>
      </c>
      <c r="I36" s="52">
        <f>0.96*H6</f>
        <v>141.12</v>
      </c>
    </row>
    <row r="37" spans="1:9" ht="15.75" thickBot="1" x14ac:dyDescent="0.3">
      <c r="A37" s="7" t="s">
        <v>28</v>
      </c>
      <c r="B37" s="8"/>
      <c r="C37" s="8"/>
      <c r="D37" s="8"/>
      <c r="E37" s="8"/>
      <c r="F37" s="8"/>
      <c r="G37" s="53">
        <f>((G35-G32)/((F16*30.4368)-G31))*1000</f>
        <v>978.36388888888882</v>
      </c>
      <c r="H37" s="8"/>
      <c r="I37" s="29">
        <f>(I36-I32)/((F16*30.4368)-G31)</f>
        <v>5.7750000000000003E-2</v>
      </c>
    </row>
    <row r="44" spans="1:9" x14ac:dyDescent="0.25">
      <c r="C44" s="1"/>
      <c r="D44" s="1"/>
    </row>
    <row r="45" spans="1:9" x14ac:dyDescent="0.25">
      <c r="C45" s="1"/>
      <c r="D45" s="1"/>
    </row>
  </sheetData>
  <mergeCells count="2">
    <mergeCell ref="A2:I2"/>
    <mergeCell ref="A3:I3"/>
  </mergeCells>
  <printOptions horizontalCentered="1"/>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C1" sqref="C1"/>
    </sheetView>
  </sheetViews>
  <sheetFormatPr defaultRowHeight="15" x14ac:dyDescent="0.25"/>
  <cols>
    <col min="1" max="1" width="12.28515625" customWidth="1"/>
    <col min="2" max="2" width="12.85546875" customWidth="1"/>
  </cols>
  <sheetData>
    <row r="1" spans="1:11" ht="30" customHeight="1" x14ac:dyDescent="0.25"/>
    <row r="2" spans="1:11" ht="21" x14ac:dyDescent="0.35">
      <c r="A2" s="70" t="s">
        <v>58</v>
      </c>
      <c r="B2" s="70"/>
      <c r="C2" s="70"/>
      <c r="D2" s="70"/>
      <c r="E2" s="70"/>
      <c r="F2" s="70"/>
    </row>
    <row r="3" spans="1:11" ht="32.25" customHeight="1" x14ac:dyDescent="0.25">
      <c r="A3" s="71" t="s">
        <v>56</v>
      </c>
      <c r="B3" s="71"/>
      <c r="C3" s="71"/>
      <c r="D3" s="71"/>
      <c r="E3" s="71"/>
      <c r="F3" s="71"/>
    </row>
    <row r="4" spans="1:11" ht="15.75" thickBot="1" x14ac:dyDescent="0.3"/>
    <row r="5" spans="1:11" ht="45" x14ac:dyDescent="0.25">
      <c r="A5" s="56" t="s">
        <v>29</v>
      </c>
      <c r="B5" s="57" t="s">
        <v>30</v>
      </c>
      <c r="C5" s="50" t="s">
        <v>31</v>
      </c>
      <c r="D5" s="57" t="s">
        <v>33</v>
      </c>
      <c r="E5" s="57" t="s">
        <v>32</v>
      </c>
      <c r="F5" s="58" t="s">
        <v>33</v>
      </c>
    </row>
    <row r="6" spans="1:11" x14ac:dyDescent="0.25">
      <c r="A6" s="40">
        <v>0</v>
      </c>
      <c r="B6" s="41">
        <f t="shared" ref="B6:B24" si="0">A6*30.4368</f>
        <v>0</v>
      </c>
      <c r="C6" s="42">
        <f>Aprēķins!F8</f>
        <v>43</v>
      </c>
      <c r="D6" s="43">
        <f>C6/Aprēķins!$F$6*100</f>
        <v>6.3235294117647056</v>
      </c>
      <c r="E6" s="41">
        <f>Aprēķins!H8</f>
        <v>80.850000000000009</v>
      </c>
      <c r="F6" s="44">
        <f>E6/Aprēķins!$H$6*100</f>
        <v>55.000000000000007</v>
      </c>
      <c r="J6" s="2"/>
      <c r="K6" s="3"/>
    </row>
    <row r="7" spans="1:11" x14ac:dyDescent="0.25">
      <c r="A7" s="40">
        <v>1</v>
      </c>
      <c r="B7" s="41">
        <f t="shared" si="0"/>
        <v>30.436800000000002</v>
      </c>
      <c r="C7" s="42">
        <f>C6+((Aprēķins!G21/1000)*30.4368)</f>
        <v>67.349440000000001</v>
      </c>
      <c r="D7" s="43">
        <f>C7/Aprēķins!$F$6*100</f>
        <v>9.9043294117647065</v>
      </c>
      <c r="E7" s="41">
        <f>E6+($C$50*30.4368)</f>
        <v>85.872500000000016</v>
      </c>
      <c r="F7" s="44">
        <f>E7/Aprēķins!$H$6*100</f>
        <v>58.416666666666686</v>
      </c>
      <c r="J7" s="2"/>
      <c r="K7" s="3"/>
    </row>
    <row r="8" spans="1:11" x14ac:dyDescent="0.25">
      <c r="A8" s="40">
        <v>2</v>
      </c>
      <c r="B8" s="41">
        <f t="shared" si="0"/>
        <v>60.873600000000003</v>
      </c>
      <c r="C8" s="42">
        <f>C7+((Aprēķins!G21/1000)*30.4368)</f>
        <v>91.698880000000003</v>
      </c>
      <c r="D8" s="43">
        <f>C8/Aprēķins!$F$6*100</f>
        <v>13.485129411764706</v>
      </c>
      <c r="E8" s="41">
        <f t="shared" ref="E8:E12" si="1">E7+($C$50*30.4368)</f>
        <v>90.895000000000024</v>
      </c>
      <c r="F8" s="44">
        <f>E8/Aprēķins!$H$6*100</f>
        <v>61.83333333333335</v>
      </c>
      <c r="J8" s="2"/>
      <c r="K8" s="3"/>
    </row>
    <row r="9" spans="1:11" x14ac:dyDescent="0.25">
      <c r="A9" s="40">
        <v>3</v>
      </c>
      <c r="B9" s="41">
        <f t="shared" si="0"/>
        <v>91.310400000000001</v>
      </c>
      <c r="C9" s="42">
        <f>IF(B9&gt;Aprēķins!$G$31,(C8+((Aprēķins!$G$37/1000)*30.4368)),(C8+((Aprēķins!$G$33/1000)*30.4368)))</f>
        <v>113.75260436720245</v>
      </c>
      <c r="D9" s="43">
        <f>C9/Aprēķins!$F$6*100</f>
        <v>16.728324171647419</v>
      </c>
      <c r="E9" s="41">
        <f t="shared" si="1"/>
        <v>95.917500000000032</v>
      </c>
      <c r="F9" s="44">
        <f>E9/Aprēķins!$H$6*100</f>
        <v>65.250000000000014</v>
      </c>
      <c r="J9" s="2"/>
      <c r="K9" s="3"/>
    </row>
    <row r="10" spans="1:11" x14ac:dyDescent="0.25">
      <c r="A10" s="40">
        <v>4</v>
      </c>
      <c r="B10" s="41">
        <f t="shared" si="0"/>
        <v>121.74720000000001</v>
      </c>
      <c r="C10" s="42">
        <f>IF(B10&gt;Aprēķins!$G$31,(C9+((Aprēķins!$G$37/1000)*30.4368)),(C9+((Aprēķins!$G$33/1000)*30.4368)))</f>
        <v>135.8063287344049</v>
      </c>
      <c r="D10" s="43">
        <f>C10/Aprēķins!$F$6*100</f>
        <v>19.971518931530134</v>
      </c>
      <c r="E10" s="41">
        <f t="shared" si="1"/>
        <v>100.94000000000004</v>
      </c>
      <c r="F10" s="44">
        <f>E10/Aprēķins!$H$6*100</f>
        <v>68.6666666666667</v>
      </c>
      <c r="J10" s="2"/>
      <c r="K10" s="3"/>
    </row>
    <row r="11" spans="1:11" x14ac:dyDescent="0.25">
      <c r="A11" s="40">
        <v>5</v>
      </c>
      <c r="B11" s="41">
        <f t="shared" si="0"/>
        <v>152.184</v>
      </c>
      <c r="C11" s="42">
        <f>IF(B11&gt;Aprēķins!$G$31,(C10+((Aprēķins!$G$37/1000)*30.4368)),(C10+((Aprēķins!$G$33/1000)*30.4368)))</f>
        <v>157.86005310160735</v>
      </c>
      <c r="D11" s="43">
        <f>C11/Aprēķins!$F$6*100</f>
        <v>23.214713691412843</v>
      </c>
      <c r="E11" s="41">
        <f t="shared" si="1"/>
        <v>105.96250000000005</v>
      </c>
      <c r="F11" s="44">
        <f>E11/Aprēķins!$H$6*100</f>
        <v>72.083333333333371</v>
      </c>
      <c r="J11" s="2"/>
      <c r="K11" s="3"/>
    </row>
    <row r="12" spans="1:11" x14ac:dyDescent="0.25">
      <c r="A12" s="40">
        <v>6</v>
      </c>
      <c r="B12" s="41">
        <f t="shared" si="0"/>
        <v>182.6208</v>
      </c>
      <c r="C12" s="42">
        <f>IF(B12&gt;Aprēķins!$G$31,(C11+((Aprēķins!$G$37/1000)*30.4368)),(C11+((Aprēķins!$G$33/1000)*30.4368)))</f>
        <v>179.9137774688098</v>
      </c>
      <c r="D12" s="43">
        <f>C12/Aprēķins!$F$6*100</f>
        <v>26.457908451295559</v>
      </c>
      <c r="E12" s="41">
        <f t="shared" si="1"/>
        <v>110.98500000000006</v>
      </c>
      <c r="F12" s="44">
        <f>E12/Aprēķins!$H$6*100</f>
        <v>75.500000000000028</v>
      </c>
      <c r="J12" s="2"/>
      <c r="K12" s="3"/>
    </row>
    <row r="13" spans="1:11" x14ac:dyDescent="0.25">
      <c r="A13" s="40">
        <v>7</v>
      </c>
      <c r="B13" s="41">
        <f t="shared" si="0"/>
        <v>213.05760000000001</v>
      </c>
      <c r="C13" s="42">
        <f>IF(B13&gt;Aprēķins!$G$31,(C12+((Aprēķins!$G$37/1000)*30.4368)),(C12+((Aprēķins!$G$33/1000)*30.4368)))</f>
        <v>201.96750183601225</v>
      </c>
      <c r="D13" s="43">
        <f>C13/Aprēķins!$F$6*100</f>
        <v>29.701103211178271</v>
      </c>
      <c r="E13" s="41">
        <f>E12+($C$51*30.4368)</f>
        <v>113.49625000000006</v>
      </c>
      <c r="F13" s="44">
        <f>E13/Aprēķins!$H$6*100</f>
        <v>77.208333333333385</v>
      </c>
      <c r="J13" s="2"/>
      <c r="K13" s="3"/>
    </row>
    <row r="14" spans="1:11" x14ac:dyDescent="0.25">
      <c r="A14" s="40">
        <v>8</v>
      </c>
      <c r="B14" s="41">
        <f t="shared" si="0"/>
        <v>243.49440000000001</v>
      </c>
      <c r="C14" s="42">
        <f>IF(B14&gt;Aprēķins!$G$31,(C13+((Aprēķins!$G$37/1000)*30.4368)),(C13+((Aprēķins!$G$33/1000)*30.4368)))</f>
        <v>224.0212262032147</v>
      </c>
      <c r="D14" s="43">
        <f>C14/Aprēķins!$F$6*100</f>
        <v>32.94429797106099</v>
      </c>
      <c r="E14" s="41">
        <f t="shared" ref="E14:E17" si="2">E13+($C$51*30.4368)</f>
        <v>116.00750000000006</v>
      </c>
      <c r="F14" s="44">
        <f>E14/Aprēķins!$H$6*100</f>
        <v>78.916666666666714</v>
      </c>
      <c r="J14" s="2"/>
      <c r="K14" s="3"/>
    </row>
    <row r="15" spans="1:11" x14ac:dyDescent="0.25">
      <c r="A15" s="40">
        <v>9</v>
      </c>
      <c r="B15" s="41">
        <f t="shared" si="0"/>
        <v>273.93119999999999</v>
      </c>
      <c r="C15" s="42">
        <f>IF(B15&gt;Aprēķins!$G$31,(C14+((Aprēķins!$G$37/1000)*30.4368)),(C14+((Aprēķins!$G$33/1000)*30.4368)))</f>
        <v>246.07495057041714</v>
      </c>
      <c r="D15" s="43">
        <f>C15/Aprēķins!$F$6*100</f>
        <v>36.187492730943696</v>
      </c>
      <c r="E15" s="41">
        <f t="shared" si="2"/>
        <v>118.51875000000007</v>
      </c>
      <c r="F15" s="44">
        <f>E15/Aprēķins!$H$6*100</f>
        <v>80.625000000000043</v>
      </c>
      <c r="J15" s="2"/>
      <c r="K15" s="3"/>
    </row>
    <row r="16" spans="1:11" x14ac:dyDescent="0.25">
      <c r="A16" s="40">
        <v>10</v>
      </c>
      <c r="B16" s="41">
        <f t="shared" si="0"/>
        <v>304.36799999999999</v>
      </c>
      <c r="C16" s="42">
        <f>IF(B16&gt;Aprēķins!$G$31,(C15+((Aprēķins!$G$37/1000)*30.4368)),(C15+((Aprēķins!$G$33/1000)*30.4368)))</f>
        <v>268.12867493761962</v>
      </c>
      <c r="D16" s="43">
        <f>C16/Aprēķins!$F$6*100</f>
        <v>39.430687490826415</v>
      </c>
      <c r="E16" s="41">
        <f t="shared" si="2"/>
        <v>121.03000000000007</v>
      </c>
      <c r="F16" s="44">
        <f>E16/Aprēķins!$H$6*100</f>
        <v>82.333333333333385</v>
      </c>
      <c r="J16" s="2"/>
      <c r="K16" s="3"/>
    </row>
    <row r="17" spans="1:11" x14ac:dyDescent="0.25">
      <c r="A17" s="40">
        <v>11</v>
      </c>
      <c r="B17" s="41">
        <f t="shared" si="0"/>
        <v>334.8048</v>
      </c>
      <c r="C17" s="42">
        <f>IF(B17&gt;Aprēķins!$G$31,(C16+((Aprēķins!$G$37/1000)*30.4368)),(C16+((Aprēķins!$G$33/1000)*30.4368)))</f>
        <v>290.18239930482207</v>
      </c>
      <c r="D17" s="43">
        <f>C17/Aprēķins!$F$6*100</f>
        <v>42.673882250709127</v>
      </c>
      <c r="E17" s="41">
        <f t="shared" si="2"/>
        <v>123.54125000000008</v>
      </c>
      <c r="F17" s="44">
        <f>E17/Aprēķins!$H$6*100</f>
        <v>84.041666666666714</v>
      </c>
      <c r="J17" s="2"/>
      <c r="K17" s="3"/>
    </row>
    <row r="18" spans="1:11" x14ac:dyDescent="0.25">
      <c r="A18" s="40">
        <v>12</v>
      </c>
      <c r="B18" s="41">
        <f t="shared" si="0"/>
        <v>365.24160000000001</v>
      </c>
      <c r="C18" s="42">
        <f>IF(B18&gt;Aprēķins!$G$31,(C17+((Aprēķins!$G$37/1000)*30.4368)),(C17+((Aprēķins!$G$33/1000)*30.4368)))</f>
        <v>312.23612367202452</v>
      </c>
      <c r="D18" s="43">
        <f>C18/Aprēķins!$F$6*100</f>
        <v>45.917077010591839</v>
      </c>
      <c r="E18" s="41">
        <f>E17+($C$51*30.4368)</f>
        <v>126.05250000000008</v>
      </c>
      <c r="F18" s="44">
        <f>E18/Aprēķins!$H$6*100</f>
        <v>85.750000000000057</v>
      </c>
      <c r="J18" s="2"/>
      <c r="K18" s="3"/>
    </row>
    <row r="19" spans="1:11" x14ac:dyDescent="0.25">
      <c r="A19" s="40">
        <v>13</v>
      </c>
      <c r="B19" s="41">
        <f t="shared" si="0"/>
        <v>395.67840000000001</v>
      </c>
      <c r="C19" s="42">
        <f>IF(B19&gt;Aprēķins!$G$31,(C18+((Aprēķins!$G$37/1000)*30.4368)),(C18+((Aprēķins!$G$33/1000)*30.4368)))</f>
        <v>334.28984803922697</v>
      </c>
      <c r="D19" s="43">
        <f>C19/Aprēķins!$F$6*100</f>
        <v>49.160271770474559</v>
      </c>
      <c r="E19" s="41">
        <f>E18+($C$52*30.4368)</f>
        <v>127.30812500000008</v>
      </c>
      <c r="F19" s="44">
        <f>E19/Aprēķins!$H$6*100</f>
        <v>86.604166666666714</v>
      </c>
      <c r="J19" s="2"/>
      <c r="K19" s="3"/>
    </row>
    <row r="20" spans="1:11" x14ac:dyDescent="0.25">
      <c r="A20" s="40">
        <v>14</v>
      </c>
      <c r="B20" s="41">
        <f t="shared" si="0"/>
        <v>426.11520000000002</v>
      </c>
      <c r="C20" s="42">
        <f>IF(B20&gt;Aprēķins!$G$31,(C19+((Aprēķins!$G$37/1000)*30.4368)),(C19+((Aprēķins!$G$33/1000)*30.4368)))</f>
        <v>356.34357240642942</v>
      </c>
      <c r="D20" s="43">
        <f>C20/Aprēķins!$F$6*100</f>
        <v>52.403466530357271</v>
      </c>
      <c r="E20" s="41">
        <f t="shared" ref="E20:E23" si="3">E19+($C$52*30.4368)</f>
        <v>128.56375000000008</v>
      </c>
      <c r="F20" s="44">
        <f>E20/Aprēķins!$H$6*100</f>
        <v>87.4583333333334</v>
      </c>
      <c r="J20" s="2"/>
      <c r="K20" s="3"/>
    </row>
    <row r="21" spans="1:11" x14ac:dyDescent="0.25">
      <c r="A21" s="40">
        <v>15</v>
      </c>
      <c r="B21" s="41">
        <f t="shared" si="0"/>
        <v>456.55200000000002</v>
      </c>
      <c r="C21" s="42">
        <f>IF(B21&gt;Aprēķins!$G$31,(C20+((Aprēķins!$G$37/1000)*30.4368)),(C20+((Aprēķins!$G$33/1000)*30.4368)))</f>
        <v>386.12183841976275</v>
      </c>
      <c r="D21" s="43">
        <f>C21/Aprēķins!$F$6*100</f>
        <v>56.782623297023939</v>
      </c>
      <c r="E21" s="41">
        <f t="shared" si="3"/>
        <v>129.81937500000009</v>
      </c>
      <c r="F21" s="44">
        <f>E21/Aprēķins!$H$6*100</f>
        <v>88.312500000000057</v>
      </c>
      <c r="J21" s="2"/>
      <c r="K21" s="3"/>
    </row>
    <row r="22" spans="1:11" x14ac:dyDescent="0.25">
      <c r="A22" s="40">
        <v>16</v>
      </c>
      <c r="B22" s="41">
        <f t="shared" si="0"/>
        <v>486.98880000000003</v>
      </c>
      <c r="C22" s="42">
        <f>IF(B22&gt;Aprēķins!$G$31,(C21+((Aprēķins!$G$37/1000)*30.4368)),(C21+((Aprēķins!$G$33/1000)*30.4368)))</f>
        <v>415.90010443309609</v>
      </c>
      <c r="D22" s="43">
        <f>C22/Aprēķins!$F$6*100</f>
        <v>61.1617800636906</v>
      </c>
      <c r="E22" s="41">
        <f t="shared" si="3"/>
        <v>131.0750000000001</v>
      </c>
      <c r="F22" s="44">
        <f>E22/Aprēķins!$H$6*100</f>
        <v>89.166666666666742</v>
      </c>
      <c r="J22" s="2"/>
      <c r="K22" s="3"/>
    </row>
    <row r="23" spans="1:11" x14ac:dyDescent="0.25">
      <c r="A23" s="40">
        <v>17</v>
      </c>
      <c r="B23" s="41">
        <f t="shared" si="0"/>
        <v>517.42560000000003</v>
      </c>
      <c r="C23" s="42">
        <f>IF(B23&gt;Aprēķins!$G$31,(C22+((Aprēķins!$G$37/1000)*30.4368)),(C22+((Aprēķins!$G$33/1000)*30.4368)))</f>
        <v>445.67837044642943</v>
      </c>
      <c r="D23" s="43">
        <f>C23/Aprēķins!$F$6*100</f>
        <v>65.540936830357268</v>
      </c>
      <c r="E23" s="41">
        <f t="shared" si="3"/>
        <v>132.33062500000011</v>
      </c>
      <c r="F23" s="44">
        <f>E23/Aprēķins!$H$6*100</f>
        <v>90.0208333333334</v>
      </c>
      <c r="J23" s="2"/>
      <c r="K23" s="3"/>
    </row>
    <row r="24" spans="1:11" x14ac:dyDescent="0.25">
      <c r="A24" s="40">
        <v>18</v>
      </c>
      <c r="B24" s="41">
        <f t="shared" si="0"/>
        <v>547.86239999999998</v>
      </c>
      <c r="C24" s="42">
        <f>IF(B24&gt;$E$37,(Aprēķins!$G$36+(($E$42/1000)*(B24-$E$37))),(C23+((Aprēķins!$G$37/1000)*30.4368)))</f>
        <v>475.45663645976276</v>
      </c>
      <c r="D24" s="43">
        <f>C24/Aprēķins!$F$6*100</f>
        <v>69.920093597023936</v>
      </c>
      <c r="E24" s="41">
        <f t="shared" ref="E24:E34" si="4">IF(B24&gt;$E$37,(E23+($F$42*30.4368)),(E23+($C$52*30.4368)))</f>
        <v>133.58625000000012</v>
      </c>
      <c r="F24" s="44">
        <f>E24/Aprēķins!$H$6*100</f>
        <v>90.875000000000085</v>
      </c>
      <c r="J24" s="2"/>
      <c r="K24" s="3"/>
    </row>
    <row r="25" spans="1:11" x14ac:dyDescent="0.25">
      <c r="A25" s="40">
        <v>19</v>
      </c>
      <c r="B25" s="41">
        <f t="shared" ref="B25:B34" si="5">A25*30.4368</f>
        <v>578.29920000000004</v>
      </c>
      <c r="C25" s="42">
        <f>IF(B25&gt;$E$37,(Aprēķins!$G$36+(($E$42/1000)*(B25-$E$37))),(C24+((Aprēķins!$G$37/1000)*30.4368)))</f>
        <v>505.2349024730961</v>
      </c>
      <c r="D25" s="43">
        <f>C25/Aprēķins!$F$6*100</f>
        <v>74.299250363690604</v>
      </c>
      <c r="E25" s="41">
        <f t="shared" si="4"/>
        <v>134.84187500000013</v>
      </c>
      <c r="F25" s="44">
        <f>E25/Aprēķins!$H$6*100</f>
        <v>91.729166666666757</v>
      </c>
      <c r="J25" s="2"/>
      <c r="K25" s="3"/>
    </row>
    <row r="26" spans="1:11" x14ac:dyDescent="0.25">
      <c r="A26" s="40">
        <v>20</v>
      </c>
      <c r="B26" s="41">
        <f t="shared" si="5"/>
        <v>608.73599999999999</v>
      </c>
      <c r="C26" s="42">
        <f>IF(B26&gt;$E$37,(Aprēķins!$G$36+(($E$42/1000)*(B26-$E$37))),(C25+((Aprēķins!$G$37/1000)*30.4368)))</f>
        <v>535.01316848642944</v>
      </c>
      <c r="D26" s="43">
        <f>C26/Aprēķins!$F$6*100</f>
        <v>78.678407130357272</v>
      </c>
      <c r="E26" s="41">
        <f t="shared" si="4"/>
        <v>136.09750000000014</v>
      </c>
      <c r="F26" s="44">
        <f>E26/Aprēķins!$H$6*100</f>
        <v>92.583333333333428</v>
      </c>
      <c r="J26" s="2"/>
      <c r="K26" s="3"/>
    </row>
    <row r="27" spans="1:11" x14ac:dyDescent="0.25">
      <c r="A27" s="40">
        <v>21</v>
      </c>
      <c r="B27" s="41">
        <f t="shared" si="5"/>
        <v>639.17280000000005</v>
      </c>
      <c r="C27" s="42">
        <f>IF(B27&gt;$E$37,(Aprēķins!$G$36+(($E$42/1000)*(B27-$E$37))),(C26+((Aprēķins!$G$37/1000)*30.4368)))</f>
        <v>564.79143449976277</v>
      </c>
      <c r="D27" s="43">
        <f>C27/Aprēķins!$F$6*100</f>
        <v>83.05756389702394</v>
      </c>
      <c r="E27" s="41">
        <f t="shared" si="4"/>
        <v>137.35312500000015</v>
      </c>
      <c r="F27" s="44">
        <f>E27/Aprēķins!$H$6*100</f>
        <v>93.437500000000099</v>
      </c>
      <c r="J27" s="2"/>
      <c r="K27" s="3"/>
    </row>
    <row r="28" spans="1:11" x14ac:dyDescent="0.25">
      <c r="A28" s="40">
        <v>22</v>
      </c>
      <c r="B28" s="41">
        <f t="shared" si="5"/>
        <v>669.6096</v>
      </c>
      <c r="C28" s="42">
        <f>IF(B28&gt;$E$37,(Aprēķins!$G$36+(($E$42/1000)*(B28-$E$37))),(C27+((Aprēķins!$G$37/1000)*30.4368)))</f>
        <v>594.56970051309611</v>
      </c>
      <c r="D28" s="43">
        <f>C28/Aprēķins!$F$6*100</f>
        <v>87.436720663690608</v>
      </c>
      <c r="E28" s="41">
        <f t="shared" si="4"/>
        <v>138.60875000000016</v>
      </c>
      <c r="F28" s="44">
        <f>E28/Aprēķins!$H$6*100</f>
        <v>94.291666666666771</v>
      </c>
      <c r="J28" s="2"/>
      <c r="K28" s="3"/>
    </row>
    <row r="29" spans="1:11" x14ac:dyDescent="0.25">
      <c r="A29" s="40">
        <v>23</v>
      </c>
      <c r="B29" s="41">
        <f t="shared" si="5"/>
        <v>700.04640000000006</v>
      </c>
      <c r="C29" s="42">
        <f>IF(B29&gt;$E$37,(Aprēķins!$G$36+(($E$42/1000)*(B29-$E$37))),(C28+((Aprēķins!$G$37/1000)*30.4368)))</f>
        <v>624.34796652642945</v>
      </c>
      <c r="D29" s="43">
        <f>C29/Aprēķins!$F$6*100</f>
        <v>91.815877430357276</v>
      </c>
      <c r="E29" s="41">
        <f t="shared" si="4"/>
        <v>139.86437500000017</v>
      </c>
      <c r="F29" s="44">
        <f>E29/Aprēķins!$H$6*100</f>
        <v>95.145833333333456</v>
      </c>
      <c r="J29" s="2"/>
      <c r="K29" s="3"/>
    </row>
    <row r="30" spans="1:11" x14ac:dyDescent="0.25">
      <c r="A30" s="40">
        <v>24</v>
      </c>
      <c r="B30" s="41">
        <f t="shared" si="5"/>
        <v>730.48320000000001</v>
      </c>
      <c r="C30" s="42">
        <f>IF(B30&gt;$E$37,(Aprēķins!$G$36+(($E$42/1000)*(B30-$E$37))),(C29+((Aprēķins!$G$37/1000)*30.4368)))</f>
        <v>654.12623253976278</v>
      </c>
      <c r="D30" s="43">
        <f>C30/Aprēķins!$F$6*100</f>
        <v>96.195034197023944</v>
      </c>
      <c r="E30" s="41">
        <f t="shared" si="4"/>
        <v>141.12000000000018</v>
      </c>
      <c r="F30" s="44">
        <f>E30/Aprēķins!$H$6*100</f>
        <v>96.000000000000114</v>
      </c>
      <c r="J30" s="2"/>
      <c r="K30" s="3"/>
    </row>
    <row r="31" spans="1:11" x14ac:dyDescent="0.25">
      <c r="A31" s="40">
        <v>25</v>
      </c>
      <c r="B31" s="41">
        <f t="shared" si="5"/>
        <v>760.92000000000007</v>
      </c>
      <c r="C31" s="42">
        <f>IF(B31&gt;$E$37,(Aprēķins!$G$36+(($E$42/1000)*(B31-$E$37))),(C30+((Aprēķins!$G$37/1000)*30.4368)))</f>
        <v>586.85770564097891</v>
      </c>
      <c r="D31" s="43">
        <f>C31/Aprēķins!$F$6*100</f>
        <v>86.30260377073219</v>
      </c>
      <c r="E31" s="41">
        <f t="shared" si="4"/>
        <v>141.22888888888906</v>
      </c>
      <c r="F31" s="44">
        <f>E31/Aprēķins!$H$6*100</f>
        <v>96.07407407407419</v>
      </c>
      <c r="J31" s="2"/>
      <c r="K31" s="3"/>
    </row>
    <row r="32" spans="1:11" x14ac:dyDescent="0.25">
      <c r="A32" s="40">
        <v>26</v>
      </c>
      <c r="B32" s="41">
        <f t="shared" si="5"/>
        <v>791.35680000000002</v>
      </c>
      <c r="C32" s="42">
        <f>IF(B32&gt;$E$37,(Aprēķins!$G$36+(($E$42/1000)*(B32-$E$37))),(C31+((Aprēķins!$G$37/1000)*30.4368)))</f>
        <v>595.71541128195781</v>
      </c>
      <c r="D32" s="43">
        <f>C32/Aprēķins!$F$6*100</f>
        <v>87.605207541464381</v>
      </c>
      <c r="E32" s="41">
        <f t="shared" si="4"/>
        <v>141.33777777777794</v>
      </c>
      <c r="F32" s="44">
        <f>E32/Aprēķins!$H$6*100</f>
        <v>96.148148148148266</v>
      </c>
      <c r="J32" s="2"/>
      <c r="K32" s="3"/>
    </row>
    <row r="33" spans="1:11" x14ac:dyDescent="0.25">
      <c r="A33" s="40">
        <v>27</v>
      </c>
      <c r="B33" s="41">
        <f t="shared" si="5"/>
        <v>821.79360000000008</v>
      </c>
      <c r="C33" s="42">
        <f>IF(B33&gt;$E$37,(Aprēķins!$G$36+(($E$42/1000)*(B33-$E$37))),(C32+((Aprēķins!$G$37/1000)*30.4368)))</f>
        <v>604.57311692293683</v>
      </c>
      <c r="D33" s="43">
        <f>C33/Aprēķins!$F$6*100</f>
        <v>88.9078113121966</v>
      </c>
      <c r="E33" s="41">
        <f t="shared" si="4"/>
        <v>141.44666666666683</v>
      </c>
      <c r="F33" s="44">
        <f>E33/Aprēķins!$H$6*100</f>
        <v>96.222222222222328</v>
      </c>
      <c r="J33" s="2"/>
      <c r="K33" s="3"/>
    </row>
    <row r="34" spans="1:11" ht="15.75" thickBot="1" x14ac:dyDescent="0.3">
      <c r="A34" s="45">
        <v>28</v>
      </c>
      <c r="B34" s="46">
        <f t="shared" si="5"/>
        <v>852.23040000000003</v>
      </c>
      <c r="C34" s="47">
        <f>IF(B34&gt;$E$37,(Aprēķins!$G$36+(($E$42/1000)*(B34-$E$37))),(C33+((Aprēķins!$G$37/1000)*30.4368)))</f>
        <v>613.43082256391563</v>
      </c>
      <c r="D34" s="48">
        <f>C34/Aprēķins!$F$6*100</f>
        <v>90.210415082928762</v>
      </c>
      <c r="E34" s="46">
        <f t="shared" si="4"/>
        <v>141.55555555555571</v>
      </c>
      <c r="F34" s="49">
        <f>E34/Aprēķins!$H$6*100</f>
        <v>96.296296296296404</v>
      </c>
      <c r="J34" s="2"/>
      <c r="K34" s="3"/>
    </row>
    <row r="37" spans="1:11" x14ac:dyDescent="0.25">
      <c r="A37" s="64" t="s">
        <v>62</v>
      </c>
      <c r="E37" s="2">
        <f>Aprēķins!F16*30.4368</f>
        <v>730.48320000000001</v>
      </c>
    </row>
    <row r="38" spans="1:11" x14ac:dyDescent="0.25">
      <c r="A38" t="s">
        <v>53</v>
      </c>
      <c r="E38">
        <f>Aprēķins!F6*0.92</f>
        <v>625.6</v>
      </c>
      <c r="F38">
        <f>0.97*Aprēķins!H6</f>
        <v>142.59</v>
      </c>
      <c r="G38" t="s">
        <v>52</v>
      </c>
    </row>
    <row r="39" spans="1:11" x14ac:dyDescent="0.25">
      <c r="A39" t="s">
        <v>54</v>
      </c>
      <c r="E39" s="2">
        <f>(73.195*(Aprēķins!F8/45))+E38</f>
        <v>695.54188888888893</v>
      </c>
    </row>
    <row r="40" spans="1:11" x14ac:dyDescent="0.25">
      <c r="A40" t="s">
        <v>55</v>
      </c>
      <c r="E40" s="19">
        <v>13.5</v>
      </c>
    </row>
    <row r="41" spans="1:11" x14ac:dyDescent="0.25">
      <c r="A41" s="64" t="s">
        <v>64</v>
      </c>
      <c r="E41" s="19"/>
    </row>
    <row r="42" spans="1:11" ht="18.75" customHeight="1" x14ac:dyDescent="0.25">
      <c r="A42" t="s">
        <v>63</v>
      </c>
      <c r="E42" s="2">
        <f>(('Izmēru tabula'!E39-Aprēķins!G36)/(('Izmēru tabula'!E40*30.4368)-7))*1000</f>
        <v>291.01960918949823</v>
      </c>
      <c r="F42" s="27">
        <f>('Izmēru tabula'!F38-Aprēķins!I36)/('Izmēru tabula'!E40*30.4368)</f>
        <v>3.5775406379412026E-3</v>
      </c>
      <c r="G42" t="s">
        <v>52</v>
      </c>
    </row>
    <row r="44" spans="1:11" x14ac:dyDescent="0.25">
      <c r="A44" s="66" t="s">
        <v>46</v>
      </c>
      <c r="B44" s="66"/>
    </row>
    <row r="45" spans="1:11" ht="45" x14ac:dyDescent="0.25">
      <c r="A45" s="35" t="s">
        <v>47</v>
      </c>
      <c r="B45" s="2">
        <f>Aprēķins!I36</f>
        <v>141.12</v>
      </c>
    </row>
    <row r="46" spans="1:11" x14ac:dyDescent="0.25">
      <c r="A46" t="s">
        <v>65</v>
      </c>
      <c r="B46">
        <f>Aprēķins!H8</f>
        <v>80.850000000000009</v>
      </c>
    </row>
    <row r="47" spans="1:11" ht="30" x14ac:dyDescent="0.25">
      <c r="A47" s="35" t="s">
        <v>48</v>
      </c>
      <c r="B47">
        <f>((B45-B46)/2)+B46</f>
        <v>110.98500000000001</v>
      </c>
    </row>
    <row r="48" spans="1:11" ht="30" x14ac:dyDescent="0.25">
      <c r="A48" s="35" t="s">
        <v>49</v>
      </c>
      <c r="B48">
        <f>((B45-B46)/4)+B47</f>
        <v>126.05250000000001</v>
      </c>
    </row>
    <row r="50" spans="1:3" x14ac:dyDescent="0.25">
      <c r="A50" s="65" t="s">
        <v>66</v>
      </c>
      <c r="C50">
        <f>(B47-B46)/182.6208</f>
        <v>0.16501406192503815</v>
      </c>
    </row>
    <row r="51" spans="1:3" x14ac:dyDescent="0.25">
      <c r="A51" t="s">
        <v>50</v>
      </c>
      <c r="C51">
        <f>(B48-B47)/182.6208</f>
        <v>8.2507030962519032E-2</v>
      </c>
    </row>
    <row r="52" spans="1:3" x14ac:dyDescent="0.25">
      <c r="A52" t="s">
        <v>51</v>
      </c>
      <c r="C52">
        <f>(B45-B48)/(E37-365.2416)</f>
        <v>4.1253515481259516E-2</v>
      </c>
    </row>
  </sheetData>
  <mergeCells count="2">
    <mergeCell ref="A2:F2"/>
    <mergeCell ref="A3:F3"/>
  </mergeCells>
  <printOptions horizontalCentered="1"/>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6"/>
  <sheetViews>
    <sheetView tabSelected="1" workbookViewId="0">
      <selection activeCell="K33" sqref="K33"/>
    </sheetView>
  </sheetViews>
  <sheetFormatPr defaultRowHeight="15" x14ac:dyDescent="0.25"/>
  <cols>
    <col min="1" max="1" width="9.140625" style="21"/>
    <col min="2" max="2" width="17.5703125" style="21" customWidth="1"/>
    <col min="3" max="3" width="16.5703125" style="21" customWidth="1"/>
    <col min="4" max="4" width="11" style="21" bestFit="1" customWidth="1"/>
    <col min="5" max="5" width="18.42578125" style="21" bestFit="1" customWidth="1"/>
    <col min="6" max="6" width="14.28515625" style="21" customWidth="1"/>
    <col min="7" max="7" width="18.42578125" style="21" customWidth="1"/>
    <col min="8" max="8" width="9.140625" style="21"/>
    <col min="9" max="9" width="10.5703125" style="21" bestFit="1" customWidth="1"/>
  </cols>
  <sheetData>
    <row r="1" spans="1:10" ht="90" x14ac:dyDescent="0.25">
      <c r="A1" s="20" t="s">
        <v>34</v>
      </c>
      <c r="B1" s="20" t="s">
        <v>35</v>
      </c>
      <c r="C1" s="20" t="s">
        <v>36</v>
      </c>
      <c r="D1" s="20" t="s">
        <v>37</v>
      </c>
      <c r="E1" s="59" t="s">
        <v>38</v>
      </c>
      <c r="F1" s="20" t="s">
        <v>39</v>
      </c>
      <c r="G1" s="59" t="s">
        <v>40</v>
      </c>
      <c r="H1" s="59" t="s">
        <v>41</v>
      </c>
      <c r="I1" s="59" t="s">
        <v>42</v>
      </c>
      <c r="J1" s="59" t="s">
        <v>43</v>
      </c>
    </row>
    <row r="2" spans="1:10" x14ac:dyDescent="0.25">
      <c r="A2" s="23">
        <v>1</v>
      </c>
      <c r="B2" s="24">
        <v>40931</v>
      </c>
      <c r="C2" s="24">
        <v>41877</v>
      </c>
      <c r="D2" s="54">
        <v>548</v>
      </c>
      <c r="E2" s="54">
        <v>680.38499999999999</v>
      </c>
      <c r="F2" s="54">
        <v>130.81</v>
      </c>
      <c r="G2" s="54">
        <v>152.4</v>
      </c>
      <c r="H2" s="22">
        <f>(C2-B2)/30.4368</f>
        <v>31.080796930032065</v>
      </c>
      <c r="I2" s="22">
        <f>D2/E2*100</f>
        <v>80.542633949896015</v>
      </c>
      <c r="J2" s="22">
        <f>F2/G2*100</f>
        <v>85.833333333333329</v>
      </c>
    </row>
    <row r="3" spans="1:10" x14ac:dyDescent="0.25">
      <c r="A3" s="23">
        <v>2</v>
      </c>
      <c r="B3" s="24">
        <v>41297</v>
      </c>
      <c r="C3" s="24">
        <v>41877</v>
      </c>
      <c r="D3" s="54">
        <v>430</v>
      </c>
      <c r="E3" s="54">
        <v>680.38499999999999</v>
      </c>
      <c r="F3" s="54">
        <v>127.63500000000001</v>
      </c>
      <c r="G3" s="54">
        <v>152.4</v>
      </c>
      <c r="H3" s="22">
        <f t="shared" ref="H3:H26" si="0">(C3-B3)/30.4368</f>
        <v>19.055879724543971</v>
      </c>
      <c r="I3" s="22">
        <f t="shared" ref="I3:I26" si="1">D3/E3*100</f>
        <v>63.199512040976799</v>
      </c>
      <c r="J3" s="22">
        <f t="shared" ref="J3:J26" si="2">F3/G3*100</f>
        <v>83.75</v>
      </c>
    </row>
    <row r="4" spans="1:10" x14ac:dyDescent="0.25">
      <c r="A4" s="23">
        <v>3</v>
      </c>
      <c r="B4" s="24">
        <v>41418</v>
      </c>
      <c r="C4" s="24">
        <v>41877</v>
      </c>
      <c r="D4" s="54">
        <v>400</v>
      </c>
      <c r="E4" s="54">
        <v>680.38499999999999</v>
      </c>
      <c r="F4" s="54">
        <v>135.255</v>
      </c>
      <c r="G4" s="54">
        <v>152.4</v>
      </c>
      <c r="H4" s="22">
        <f t="shared" si="0"/>
        <v>15.080428954423592</v>
      </c>
      <c r="I4" s="22">
        <f t="shared" si="1"/>
        <v>58.790243759048188</v>
      </c>
      <c r="J4" s="22">
        <f t="shared" si="2"/>
        <v>88.75</v>
      </c>
    </row>
    <row r="5" spans="1:10" x14ac:dyDescent="0.25">
      <c r="A5" s="23">
        <v>4</v>
      </c>
      <c r="B5" s="24"/>
      <c r="C5" s="24"/>
      <c r="D5" s="54"/>
      <c r="E5" s="54">
        <v>680.38499999999999</v>
      </c>
      <c r="F5" s="54"/>
      <c r="G5" s="54">
        <v>152.4</v>
      </c>
      <c r="H5" s="22">
        <f t="shared" si="0"/>
        <v>0</v>
      </c>
      <c r="I5" s="22">
        <f t="shared" si="1"/>
        <v>0</v>
      </c>
      <c r="J5" s="22">
        <f t="shared" si="2"/>
        <v>0</v>
      </c>
    </row>
    <row r="6" spans="1:10" x14ac:dyDescent="0.25">
      <c r="A6" s="23">
        <v>5</v>
      </c>
      <c r="B6" s="24"/>
      <c r="C6" s="24"/>
      <c r="D6" s="54"/>
      <c r="E6" s="54">
        <v>680.38499999999999</v>
      </c>
      <c r="F6" s="54"/>
      <c r="G6" s="54">
        <v>152.4</v>
      </c>
      <c r="H6" s="22">
        <f t="shared" si="0"/>
        <v>0</v>
      </c>
      <c r="I6" s="22">
        <f t="shared" si="1"/>
        <v>0</v>
      </c>
      <c r="J6" s="22">
        <f t="shared" si="2"/>
        <v>0</v>
      </c>
    </row>
    <row r="7" spans="1:10" x14ac:dyDescent="0.25">
      <c r="A7" s="23">
        <v>6</v>
      </c>
      <c r="B7" s="24"/>
      <c r="C7" s="24"/>
      <c r="D7" s="54"/>
      <c r="E7" s="54">
        <v>680.38499999999999</v>
      </c>
      <c r="F7" s="54"/>
      <c r="G7" s="54">
        <v>152.4</v>
      </c>
      <c r="H7" s="22">
        <f t="shared" si="0"/>
        <v>0</v>
      </c>
      <c r="I7" s="22">
        <f t="shared" si="1"/>
        <v>0</v>
      </c>
      <c r="J7" s="22">
        <f t="shared" si="2"/>
        <v>0</v>
      </c>
    </row>
    <row r="8" spans="1:10" x14ac:dyDescent="0.25">
      <c r="A8" s="23">
        <v>7</v>
      </c>
      <c r="B8" s="24"/>
      <c r="C8" s="24"/>
      <c r="D8" s="54"/>
      <c r="E8" s="54">
        <v>680.38499999999999</v>
      </c>
      <c r="F8" s="54"/>
      <c r="G8" s="54">
        <v>152.4</v>
      </c>
      <c r="H8" s="22">
        <f t="shared" si="0"/>
        <v>0</v>
      </c>
      <c r="I8" s="22">
        <f t="shared" si="1"/>
        <v>0</v>
      </c>
      <c r="J8" s="22">
        <f t="shared" si="2"/>
        <v>0</v>
      </c>
    </row>
    <row r="9" spans="1:10" x14ac:dyDescent="0.25">
      <c r="A9" s="23">
        <v>8</v>
      </c>
      <c r="B9" s="24"/>
      <c r="C9" s="24"/>
      <c r="D9" s="54"/>
      <c r="E9" s="54">
        <v>680.38499999999999</v>
      </c>
      <c r="F9" s="54"/>
      <c r="G9" s="54">
        <v>152.4</v>
      </c>
      <c r="H9" s="22">
        <f t="shared" si="0"/>
        <v>0</v>
      </c>
      <c r="I9" s="22">
        <f t="shared" si="1"/>
        <v>0</v>
      </c>
      <c r="J9" s="22">
        <f t="shared" si="2"/>
        <v>0</v>
      </c>
    </row>
    <row r="10" spans="1:10" x14ac:dyDescent="0.25">
      <c r="A10" s="23">
        <v>9</v>
      </c>
      <c r="B10" s="24"/>
      <c r="C10" s="24"/>
      <c r="D10" s="54"/>
      <c r="E10" s="54">
        <v>680.38499999999999</v>
      </c>
      <c r="F10" s="54"/>
      <c r="G10" s="54">
        <v>152.4</v>
      </c>
      <c r="H10" s="22">
        <f t="shared" si="0"/>
        <v>0</v>
      </c>
      <c r="I10" s="22">
        <f t="shared" si="1"/>
        <v>0</v>
      </c>
      <c r="J10" s="22">
        <f t="shared" si="2"/>
        <v>0</v>
      </c>
    </row>
    <row r="11" spans="1:10" x14ac:dyDescent="0.25">
      <c r="A11" s="23">
        <v>10</v>
      </c>
      <c r="B11" s="24"/>
      <c r="C11" s="24"/>
      <c r="D11" s="54"/>
      <c r="E11" s="54">
        <v>680.38499999999999</v>
      </c>
      <c r="F11" s="54"/>
      <c r="G11" s="54">
        <v>152.4</v>
      </c>
      <c r="H11" s="22">
        <f t="shared" si="0"/>
        <v>0</v>
      </c>
      <c r="I11" s="22">
        <f t="shared" si="1"/>
        <v>0</v>
      </c>
      <c r="J11" s="22">
        <f t="shared" si="2"/>
        <v>0</v>
      </c>
    </row>
    <row r="12" spans="1:10" x14ac:dyDescent="0.25">
      <c r="A12" s="23">
        <v>11</v>
      </c>
      <c r="B12" s="24"/>
      <c r="C12" s="24"/>
      <c r="D12" s="54"/>
      <c r="E12" s="54">
        <v>680.38499999999999</v>
      </c>
      <c r="F12" s="54"/>
      <c r="G12" s="54">
        <v>152.4</v>
      </c>
      <c r="H12" s="22">
        <f t="shared" si="0"/>
        <v>0</v>
      </c>
      <c r="I12" s="22">
        <f t="shared" si="1"/>
        <v>0</v>
      </c>
      <c r="J12" s="22">
        <f t="shared" si="2"/>
        <v>0</v>
      </c>
    </row>
    <row r="13" spans="1:10" x14ac:dyDescent="0.25">
      <c r="A13" s="23">
        <v>12</v>
      </c>
      <c r="B13" s="24"/>
      <c r="C13" s="24"/>
      <c r="D13" s="54"/>
      <c r="E13" s="54">
        <v>680.38499999999999</v>
      </c>
      <c r="F13" s="54"/>
      <c r="G13" s="54">
        <v>152.4</v>
      </c>
      <c r="H13" s="22">
        <f t="shared" si="0"/>
        <v>0</v>
      </c>
      <c r="I13" s="22">
        <f t="shared" si="1"/>
        <v>0</v>
      </c>
      <c r="J13" s="22">
        <f t="shared" si="2"/>
        <v>0</v>
      </c>
    </row>
    <row r="14" spans="1:10" x14ac:dyDescent="0.25">
      <c r="A14" s="23">
        <v>13</v>
      </c>
      <c r="B14" s="24"/>
      <c r="C14" s="24"/>
      <c r="D14" s="54"/>
      <c r="E14" s="54">
        <v>680.38499999999999</v>
      </c>
      <c r="F14" s="54"/>
      <c r="G14" s="54">
        <v>152.4</v>
      </c>
      <c r="H14" s="22">
        <f t="shared" si="0"/>
        <v>0</v>
      </c>
      <c r="I14" s="22">
        <f t="shared" si="1"/>
        <v>0</v>
      </c>
      <c r="J14" s="22">
        <f t="shared" si="2"/>
        <v>0</v>
      </c>
    </row>
    <row r="15" spans="1:10" x14ac:dyDescent="0.25">
      <c r="A15" s="23">
        <v>14</v>
      </c>
      <c r="B15" s="24"/>
      <c r="C15" s="24"/>
      <c r="D15" s="54"/>
      <c r="E15" s="54">
        <v>680.38499999999999</v>
      </c>
      <c r="F15" s="54"/>
      <c r="G15" s="54">
        <v>152.4</v>
      </c>
      <c r="H15" s="22">
        <f t="shared" si="0"/>
        <v>0</v>
      </c>
      <c r="I15" s="22">
        <f t="shared" si="1"/>
        <v>0</v>
      </c>
      <c r="J15" s="22">
        <f t="shared" si="2"/>
        <v>0</v>
      </c>
    </row>
    <row r="16" spans="1:10" x14ac:dyDescent="0.25">
      <c r="A16" s="23">
        <v>15</v>
      </c>
      <c r="B16" s="24"/>
      <c r="C16" s="24"/>
      <c r="D16" s="54"/>
      <c r="E16" s="54">
        <v>680.38499999999999</v>
      </c>
      <c r="F16" s="54"/>
      <c r="G16" s="54">
        <v>152.4</v>
      </c>
      <c r="H16" s="22">
        <f t="shared" si="0"/>
        <v>0</v>
      </c>
      <c r="I16" s="22">
        <f t="shared" si="1"/>
        <v>0</v>
      </c>
      <c r="J16" s="22">
        <f t="shared" si="2"/>
        <v>0</v>
      </c>
    </row>
    <row r="17" spans="1:10" x14ac:dyDescent="0.25">
      <c r="A17" s="23">
        <v>16</v>
      </c>
      <c r="B17" s="24"/>
      <c r="C17" s="24"/>
      <c r="D17" s="54"/>
      <c r="E17" s="54">
        <v>680.38499999999999</v>
      </c>
      <c r="F17" s="54"/>
      <c r="G17" s="54">
        <v>152.4</v>
      </c>
      <c r="H17" s="22">
        <f t="shared" si="0"/>
        <v>0</v>
      </c>
      <c r="I17" s="22">
        <f t="shared" si="1"/>
        <v>0</v>
      </c>
      <c r="J17" s="22">
        <f t="shared" si="2"/>
        <v>0</v>
      </c>
    </row>
    <row r="18" spans="1:10" x14ac:dyDescent="0.25">
      <c r="A18" s="23">
        <v>17</v>
      </c>
      <c r="B18" s="24"/>
      <c r="C18" s="24"/>
      <c r="D18" s="54"/>
      <c r="E18" s="54">
        <v>680.38499999999999</v>
      </c>
      <c r="F18" s="54"/>
      <c r="G18" s="54">
        <v>152.4</v>
      </c>
      <c r="H18" s="22">
        <f t="shared" si="0"/>
        <v>0</v>
      </c>
      <c r="I18" s="22">
        <f t="shared" si="1"/>
        <v>0</v>
      </c>
      <c r="J18" s="22">
        <f t="shared" si="2"/>
        <v>0</v>
      </c>
    </row>
    <row r="19" spans="1:10" x14ac:dyDescent="0.25">
      <c r="A19" s="23">
        <v>18</v>
      </c>
      <c r="B19" s="24"/>
      <c r="C19" s="24"/>
      <c r="D19" s="54"/>
      <c r="E19" s="54">
        <v>680.38499999999999</v>
      </c>
      <c r="F19" s="54"/>
      <c r="G19" s="54">
        <v>152.4</v>
      </c>
      <c r="H19" s="22">
        <f t="shared" si="0"/>
        <v>0</v>
      </c>
      <c r="I19" s="22">
        <f t="shared" si="1"/>
        <v>0</v>
      </c>
      <c r="J19" s="22">
        <f t="shared" si="2"/>
        <v>0</v>
      </c>
    </row>
    <row r="20" spans="1:10" x14ac:dyDescent="0.25">
      <c r="A20" s="23">
        <v>19</v>
      </c>
      <c r="B20" s="24"/>
      <c r="C20" s="24"/>
      <c r="D20" s="54"/>
      <c r="E20" s="54">
        <v>680.38499999999999</v>
      </c>
      <c r="F20" s="54"/>
      <c r="G20" s="54">
        <v>152.4</v>
      </c>
      <c r="H20" s="22">
        <f t="shared" si="0"/>
        <v>0</v>
      </c>
      <c r="I20" s="22">
        <f t="shared" si="1"/>
        <v>0</v>
      </c>
      <c r="J20" s="22">
        <f t="shared" si="2"/>
        <v>0</v>
      </c>
    </row>
    <row r="21" spans="1:10" x14ac:dyDescent="0.25">
      <c r="A21" s="23">
        <v>20</v>
      </c>
      <c r="B21" s="24"/>
      <c r="C21" s="24"/>
      <c r="D21" s="54"/>
      <c r="E21" s="54">
        <v>680.38499999999999</v>
      </c>
      <c r="F21" s="54"/>
      <c r="G21" s="54">
        <v>152.4</v>
      </c>
      <c r="H21" s="22">
        <f t="shared" si="0"/>
        <v>0</v>
      </c>
      <c r="I21" s="22">
        <f t="shared" si="1"/>
        <v>0</v>
      </c>
      <c r="J21" s="22">
        <f t="shared" si="2"/>
        <v>0</v>
      </c>
    </row>
    <row r="22" spans="1:10" x14ac:dyDescent="0.25">
      <c r="A22" s="23">
        <v>21</v>
      </c>
      <c r="B22" s="24"/>
      <c r="C22" s="24"/>
      <c r="D22" s="54"/>
      <c r="E22" s="54">
        <v>680.38499999999999</v>
      </c>
      <c r="F22" s="54"/>
      <c r="G22" s="54">
        <v>152.4</v>
      </c>
      <c r="H22" s="22">
        <f t="shared" si="0"/>
        <v>0</v>
      </c>
      <c r="I22" s="22">
        <f t="shared" si="1"/>
        <v>0</v>
      </c>
      <c r="J22" s="22">
        <f t="shared" si="2"/>
        <v>0</v>
      </c>
    </row>
    <row r="23" spans="1:10" x14ac:dyDescent="0.25">
      <c r="A23" s="23">
        <v>22</v>
      </c>
      <c r="B23" s="24"/>
      <c r="C23" s="24"/>
      <c r="D23" s="54"/>
      <c r="E23" s="54">
        <v>680.38499999999999</v>
      </c>
      <c r="F23" s="54"/>
      <c r="G23" s="54">
        <v>152.4</v>
      </c>
      <c r="H23" s="22">
        <f t="shared" si="0"/>
        <v>0</v>
      </c>
      <c r="I23" s="22">
        <f t="shared" si="1"/>
        <v>0</v>
      </c>
      <c r="J23" s="22">
        <f t="shared" si="2"/>
        <v>0</v>
      </c>
    </row>
    <row r="24" spans="1:10" x14ac:dyDescent="0.25">
      <c r="A24" s="23">
        <v>23</v>
      </c>
      <c r="B24" s="24"/>
      <c r="C24" s="24"/>
      <c r="D24" s="54"/>
      <c r="E24" s="54">
        <v>680.38499999999999</v>
      </c>
      <c r="F24" s="54"/>
      <c r="G24" s="54">
        <v>152.4</v>
      </c>
      <c r="H24" s="22">
        <f t="shared" si="0"/>
        <v>0</v>
      </c>
      <c r="I24" s="22">
        <f t="shared" si="1"/>
        <v>0</v>
      </c>
      <c r="J24" s="22">
        <f t="shared" si="2"/>
        <v>0</v>
      </c>
    </row>
    <row r="25" spans="1:10" x14ac:dyDescent="0.25">
      <c r="A25" s="23">
        <v>24</v>
      </c>
      <c r="B25" s="24"/>
      <c r="C25" s="24"/>
      <c r="D25" s="54"/>
      <c r="E25" s="54">
        <v>680.38499999999999</v>
      </c>
      <c r="F25" s="54"/>
      <c r="G25" s="54">
        <v>152.4</v>
      </c>
      <c r="H25" s="22">
        <f t="shared" si="0"/>
        <v>0</v>
      </c>
      <c r="I25" s="22">
        <f t="shared" si="1"/>
        <v>0</v>
      </c>
      <c r="J25" s="22">
        <f t="shared" si="2"/>
        <v>0</v>
      </c>
    </row>
    <row r="26" spans="1:10" x14ac:dyDescent="0.25">
      <c r="A26" s="23">
        <v>25</v>
      </c>
      <c r="B26" s="24"/>
      <c r="C26" s="24"/>
      <c r="D26" s="54"/>
      <c r="E26" s="54">
        <v>680.38499999999999</v>
      </c>
      <c r="F26" s="54"/>
      <c r="G26" s="54">
        <v>152.4</v>
      </c>
      <c r="H26" s="22">
        <f t="shared" si="0"/>
        <v>0</v>
      </c>
      <c r="I26" s="22">
        <f t="shared" si="1"/>
        <v>0</v>
      </c>
      <c r="J26" s="22">
        <f t="shared" si="2"/>
        <v>0</v>
      </c>
    </row>
    <row r="27" spans="1:10" x14ac:dyDescent="0.25">
      <c r="A27" s="23">
        <v>26</v>
      </c>
      <c r="B27" s="24"/>
      <c r="C27" s="24"/>
      <c r="D27" s="54"/>
      <c r="E27" s="54">
        <v>680.38499999999999</v>
      </c>
      <c r="F27" s="54"/>
      <c r="G27" s="54">
        <v>152.4</v>
      </c>
      <c r="H27" s="22">
        <f t="shared" ref="H27:H56" si="3">(C27-B27)/30.4368</f>
        <v>0</v>
      </c>
      <c r="I27" s="22">
        <f t="shared" ref="I27:I56" si="4">D27/E27*100</f>
        <v>0</v>
      </c>
      <c r="J27" s="22">
        <f t="shared" ref="J27:J56" si="5">F27/G27*100</f>
        <v>0</v>
      </c>
    </row>
    <row r="28" spans="1:10" x14ac:dyDescent="0.25">
      <c r="A28" s="23">
        <v>27</v>
      </c>
      <c r="B28" s="24"/>
      <c r="C28" s="24"/>
      <c r="D28" s="54"/>
      <c r="E28" s="54">
        <v>680.38499999999999</v>
      </c>
      <c r="F28" s="54"/>
      <c r="G28" s="54">
        <v>152.4</v>
      </c>
      <c r="H28" s="22">
        <f t="shared" si="3"/>
        <v>0</v>
      </c>
      <c r="I28" s="22">
        <f t="shared" si="4"/>
        <v>0</v>
      </c>
      <c r="J28" s="22">
        <f t="shared" si="5"/>
        <v>0</v>
      </c>
    </row>
    <row r="29" spans="1:10" x14ac:dyDescent="0.25">
      <c r="A29" s="23">
        <v>28</v>
      </c>
      <c r="B29" s="24"/>
      <c r="C29" s="24"/>
      <c r="D29" s="54"/>
      <c r="E29" s="54">
        <v>680.38499999999999</v>
      </c>
      <c r="F29" s="54"/>
      <c r="G29" s="54">
        <v>152.4</v>
      </c>
      <c r="H29" s="22">
        <f t="shared" si="3"/>
        <v>0</v>
      </c>
      <c r="I29" s="22">
        <f t="shared" si="4"/>
        <v>0</v>
      </c>
      <c r="J29" s="22">
        <f t="shared" si="5"/>
        <v>0</v>
      </c>
    </row>
    <row r="30" spans="1:10" x14ac:dyDescent="0.25">
      <c r="A30" s="23">
        <v>29</v>
      </c>
      <c r="B30" s="24"/>
      <c r="C30" s="24"/>
      <c r="D30" s="54"/>
      <c r="E30" s="54">
        <v>680.38499999999999</v>
      </c>
      <c r="F30" s="54"/>
      <c r="G30" s="54">
        <v>152.4</v>
      </c>
      <c r="H30" s="22">
        <f t="shared" si="3"/>
        <v>0</v>
      </c>
      <c r="I30" s="22">
        <f t="shared" si="4"/>
        <v>0</v>
      </c>
      <c r="J30" s="22">
        <f t="shared" si="5"/>
        <v>0</v>
      </c>
    </row>
    <row r="31" spans="1:10" x14ac:dyDescent="0.25">
      <c r="A31" s="23">
        <v>30</v>
      </c>
      <c r="B31" s="24"/>
      <c r="C31" s="24"/>
      <c r="D31" s="54"/>
      <c r="E31" s="54">
        <v>680.38499999999999</v>
      </c>
      <c r="F31" s="54"/>
      <c r="G31" s="54">
        <v>152.4</v>
      </c>
      <c r="H31" s="22">
        <f t="shared" si="3"/>
        <v>0</v>
      </c>
      <c r="I31" s="22">
        <f t="shared" si="4"/>
        <v>0</v>
      </c>
      <c r="J31" s="22">
        <f t="shared" si="5"/>
        <v>0</v>
      </c>
    </row>
    <row r="32" spans="1:10" x14ac:dyDescent="0.25">
      <c r="A32" s="23">
        <v>31</v>
      </c>
      <c r="B32" s="24"/>
      <c r="C32" s="24"/>
      <c r="D32" s="54"/>
      <c r="E32" s="54">
        <v>680.38499999999999</v>
      </c>
      <c r="F32" s="54"/>
      <c r="G32" s="54">
        <v>152.4</v>
      </c>
      <c r="H32" s="22">
        <f t="shared" si="3"/>
        <v>0</v>
      </c>
      <c r="I32" s="22">
        <f t="shared" si="4"/>
        <v>0</v>
      </c>
      <c r="J32" s="22">
        <f t="shared" si="5"/>
        <v>0</v>
      </c>
    </row>
    <row r="33" spans="1:10" x14ac:dyDescent="0.25">
      <c r="A33" s="23">
        <v>32</v>
      </c>
      <c r="B33" s="24"/>
      <c r="C33" s="24"/>
      <c r="D33" s="54"/>
      <c r="E33" s="54">
        <v>680.38499999999999</v>
      </c>
      <c r="F33" s="54"/>
      <c r="G33" s="54">
        <v>152.4</v>
      </c>
      <c r="H33" s="22">
        <f t="shared" si="3"/>
        <v>0</v>
      </c>
      <c r="I33" s="22">
        <f t="shared" si="4"/>
        <v>0</v>
      </c>
      <c r="J33" s="22">
        <f t="shared" si="5"/>
        <v>0</v>
      </c>
    </row>
    <row r="34" spans="1:10" x14ac:dyDescent="0.25">
      <c r="A34" s="23">
        <v>33</v>
      </c>
      <c r="B34" s="24"/>
      <c r="C34" s="24"/>
      <c r="D34" s="54"/>
      <c r="E34" s="54">
        <v>680.38499999999999</v>
      </c>
      <c r="F34" s="54"/>
      <c r="G34" s="54">
        <v>152.4</v>
      </c>
      <c r="H34" s="22">
        <f t="shared" si="3"/>
        <v>0</v>
      </c>
      <c r="I34" s="22">
        <f t="shared" si="4"/>
        <v>0</v>
      </c>
      <c r="J34" s="22">
        <f t="shared" si="5"/>
        <v>0</v>
      </c>
    </row>
    <row r="35" spans="1:10" x14ac:dyDescent="0.25">
      <c r="A35" s="23">
        <v>34</v>
      </c>
      <c r="B35" s="24"/>
      <c r="C35" s="24"/>
      <c r="D35" s="54"/>
      <c r="E35" s="54">
        <v>680.38499999999999</v>
      </c>
      <c r="F35" s="54"/>
      <c r="G35" s="54">
        <v>152.4</v>
      </c>
      <c r="H35" s="22">
        <f t="shared" si="3"/>
        <v>0</v>
      </c>
      <c r="I35" s="22">
        <f t="shared" si="4"/>
        <v>0</v>
      </c>
      <c r="J35" s="22">
        <f t="shared" si="5"/>
        <v>0</v>
      </c>
    </row>
    <row r="36" spans="1:10" x14ac:dyDescent="0.25">
      <c r="A36" s="23">
        <v>35</v>
      </c>
      <c r="B36" s="24"/>
      <c r="C36" s="24"/>
      <c r="D36" s="54"/>
      <c r="E36" s="54">
        <v>680.38499999999999</v>
      </c>
      <c r="F36" s="54"/>
      <c r="G36" s="54">
        <v>152.4</v>
      </c>
      <c r="H36" s="22">
        <f t="shared" si="3"/>
        <v>0</v>
      </c>
      <c r="I36" s="22">
        <f t="shared" si="4"/>
        <v>0</v>
      </c>
      <c r="J36" s="22">
        <f t="shared" si="5"/>
        <v>0</v>
      </c>
    </row>
    <row r="37" spans="1:10" x14ac:dyDescent="0.25">
      <c r="A37" s="23">
        <v>36</v>
      </c>
      <c r="B37" s="24"/>
      <c r="C37" s="24"/>
      <c r="D37" s="54"/>
      <c r="E37" s="54">
        <v>680.38499999999999</v>
      </c>
      <c r="F37" s="54"/>
      <c r="G37" s="54">
        <v>152.4</v>
      </c>
      <c r="H37" s="22">
        <f t="shared" si="3"/>
        <v>0</v>
      </c>
      <c r="I37" s="22">
        <f t="shared" si="4"/>
        <v>0</v>
      </c>
      <c r="J37" s="22">
        <f t="shared" si="5"/>
        <v>0</v>
      </c>
    </row>
    <row r="38" spans="1:10" x14ac:dyDescent="0.25">
      <c r="A38" s="23">
        <v>37</v>
      </c>
      <c r="B38" s="24"/>
      <c r="C38" s="24"/>
      <c r="D38" s="54"/>
      <c r="E38" s="54">
        <v>680.38499999999999</v>
      </c>
      <c r="F38" s="54"/>
      <c r="G38" s="54">
        <v>152.4</v>
      </c>
      <c r="H38" s="22">
        <f t="shared" si="3"/>
        <v>0</v>
      </c>
      <c r="I38" s="22">
        <f t="shared" si="4"/>
        <v>0</v>
      </c>
      <c r="J38" s="22">
        <f t="shared" si="5"/>
        <v>0</v>
      </c>
    </row>
    <row r="39" spans="1:10" x14ac:dyDescent="0.25">
      <c r="A39" s="23">
        <v>38</v>
      </c>
      <c r="B39" s="24"/>
      <c r="C39" s="24"/>
      <c r="D39" s="54"/>
      <c r="E39" s="54">
        <v>680.38499999999999</v>
      </c>
      <c r="F39" s="54"/>
      <c r="G39" s="54">
        <v>152.4</v>
      </c>
      <c r="H39" s="22">
        <f t="shared" si="3"/>
        <v>0</v>
      </c>
      <c r="I39" s="22">
        <f t="shared" si="4"/>
        <v>0</v>
      </c>
      <c r="J39" s="22">
        <f t="shared" si="5"/>
        <v>0</v>
      </c>
    </row>
    <row r="40" spans="1:10" x14ac:dyDescent="0.25">
      <c r="A40" s="23">
        <v>39</v>
      </c>
      <c r="B40" s="24"/>
      <c r="C40" s="24"/>
      <c r="D40" s="54"/>
      <c r="E40" s="54">
        <v>680.38499999999999</v>
      </c>
      <c r="F40" s="54"/>
      <c r="G40" s="54">
        <v>152.4</v>
      </c>
      <c r="H40" s="22">
        <f t="shared" si="3"/>
        <v>0</v>
      </c>
      <c r="I40" s="22">
        <f t="shared" si="4"/>
        <v>0</v>
      </c>
      <c r="J40" s="22">
        <f t="shared" si="5"/>
        <v>0</v>
      </c>
    </row>
    <row r="41" spans="1:10" x14ac:dyDescent="0.25">
      <c r="A41" s="23">
        <v>40</v>
      </c>
      <c r="B41" s="24"/>
      <c r="C41" s="24"/>
      <c r="D41" s="54"/>
      <c r="E41" s="54">
        <v>680.38499999999999</v>
      </c>
      <c r="F41" s="54"/>
      <c r="G41" s="54">
        <v>152.4</v>
      </c>
      <c r="H41" s="22">
        <f t="shared" si="3"/>
        <v>0</v>
      </c>
      <c r="I41" s="22">
        <f t="shared" si="4"/>
        <v>0</v>
      </c>
      <c r="J41" s="22">
        <f t="shared" si="5"/>
        <v>0</v>
      </c>
    </row>
    <row r="42" spans="1:10" x14ac:dyDescent="0.25">
      <c r="A42" s="23">
        <v>41</v>
      </c>
      <c r="B42" s="24"/>
      <c r="C42" s="24"/>
      <c r="D42" s="54"/>
      <c r="E42" s="54">
        <v>680.38499999999999</v>
      </c>
      <c r="F42" s="54"/>
      <c r="G42" s="54">
        <v>152.4</v>
      </c>
      <c r="H42" s="22">
        <f t="shared" si="3"/>
        <v>0</v>
      </c>
      <c r="I42" s="22">
        <f t="shared" si="4"/>
        <v>0</v>
      </c>
      <c r="J42" s="22">
        <f t="shared" si="5"/>
        <v>0</v>
      </c>
    </row>
    <row r="43" spans="1:10" x14ac:dyDescent="0.25">
      <c r="A43" s="23">
        <v>42</v>
      </c>
      <c r="B43" s="24"/>
      <c r="C43" s="24"/>
      <c r="D43" s="54"/>
      <c r="E43" s="54">
        <v>680.38499999999999</v>
      </c>
      <c r="F43" s="54"/>
      <c r="G43" s="54">
        <v>152.4</v>
      </c>
      <c r="H43" s="22">
        <f t="shared" si="3"/>
        <v>0</v>
      </c>
      <c r="I43" s="22">
        <f t="shared" si="4"/>
        <v>0</v>
      </c>
      <c r="J43" s="22">
        <f t="shared" si="5"/>
        <v>0</v>
      </c>
    </row>
    <row r="44" spans="1:10" x14ac:dyDescent="0.25">
      <c r="A44" s="23">
        <v>43</v>
      </c>
      <c r="B44" s="24"/>
      <c r="C44" s="24"/>
      <c r="D44" s="54"/>
      <c r="E44" s="54">
        <v>680.38499999999999</v>
      </c>
      <c r="F44" s="54"/>
      <c r="G44" s="54">
        <v>152.4</v>
      </c>
      <c r="H44" s="22">
        <f t="shared" si="3"/>
        <v>0</v>
      </c>
      <c r="I44" s="22">
        <f t="shared" si="4"/>
        <v>0</v>
      </c>
      <c r="J44" s="22">
        <f t="shared" si="5"/>
        <v>0</v>
      </c>
    </row>
    <row r="45" spans="1:10" x14ac:dyDescent="0.25">
      <c r="A45" s="23">
        <v>44</v>
      </c>
      <c r="B45" s="24"/>
      <c r="C45" s="24"/>
      <c r="D45" s="54"/>
      <c r="E45" s="54">
        <v>680.38499999999999</v>
      </c>
      <c r="F45" s="54"/>
      <c r="G45" s="54">
        <v>152.4</v>
      </c>
      <c r="H45" s="22">
        <f t="shared" si="3"/>
        <v>0</v>
      </c>
      <c r="I45" s="22">
        <f t="shared" si="4"/>
        <v>0</v>
      </c>
      <c r="J45" s="22">
        <f t="shared" si="5"/>
        <v>0</v>
      </c>
    </row>
    <row r="46" spans="1:10" x14ac:dyDescent="0.25">
      <c r="A46" s="23">
        <v>45</v>
      </c>
      <c r="B46" s="24"/>
      <c r="C46" s="24"/>
      <c r="D46" s="54"/>
      <c r="E46" s="54">
        <v>680.38499999999999</v>
      </c>
      <c r="F46" s="54"/>
      <c r="G46" s="54">
        <v>152.4</v>
      </c>
      <c r="H46" s="22">
        <f t="shared" si="3"/>
        <v>0</v>
      </c>
      <c r="I46" s="22">
        <f t="shared" si="4"/>
        <v>0</v>
      </c>
      <c r="J46" s="22">
        <f t="shared" si="5"/>
        <v>0</v>
      </c>
    </row>
    <row r="47" spans="1:10" x14ac:dyDescent="0.25">
      <c r="A47" s="23">
        <v>46</v>
      </c>
      <c r="B47" s="24"/>
      <c r="C47" s="24"/>
      <c r="D47" s="54"/>
      <c r="E47" s="54">
        <v>680.38499999999999</v>
      </c>
      <c r="F47" s="54"/>
      <c r="G47" s="54">
        <v>152.4</v>
      </c>
      <c r="H47" s="22">
        <f t="shared" si="3"/>
        <v>0</v>
      </c>
      <c r="I47" s="22">
        <f t="shared" si="4"/>
        <v>0</v>
      </c>
      <c r="J47" s="22">
        <f t="shared" si="5"/>
        <v>0</v>
      </c>
    </row>
    <row r="48" spans="1:10" x14ac:dyDescent="0.25">
      <c r="A48" s="23">
        <v>47</v>
      </c>
      <c r="B48" s="24"/>
      <c r="C48" s="24"/>
      <c r="D48" s="54"/>
      <c r="E48" s="54">
        <v>680.38499999999999</v>
      </c>
      <c r="F48" s="54"/>
      <c r="G48" s="54">
        <v>152.4</v>
      </c>
      <c r="H48" s="22">
        <f t="shared" si="3"/>
        <v>0</v>
      </c>
      <c r="I48" s="22">
        <f t="shared" si="4"/>
        <v>0</v>
      </c>
      <c r="J48" s="22">
        <f t="shared" si="5"/>
        <v>0</v>
      </c>
    </row>
    <row r="49" spans="1:10" x14ac:dyDescent="0.25">
      <c r="A49" s="23">
        <v>48</v>
      </c>
      <c r="B49" s="24"/>
      <c r="C49" s="24"/>
      <c r="D49" s="54"/>
      <c r="E49" s="54">
        <v>680.38499999999999</v>
      </c>
      <c r="F49" s="54"/>
      <c r="G49" s="54">
        <v>152.4</v>
      </c>
      <c r="H49" s="22">
        <f t="shared" si="3"/>
        <v>0</v>
      </c>
      <c r="I49" s="22">
        <f t="shared" si="4"/>
        <v>0</v>
      </c>
      <c r="J49" s="22">
        <f t="shared" si="5"/>
        <v>0</v>
      </c>
    </row>
    <row r="50" spans="1:10" x14ac:dyDescent="0.25">
      <c r="A50" s="23">
        <v>49</v>
      </c>
      <c r="B50" s="24"/>
      <c r="C50" s="24"/>
      <c r="D50" s="54"/>
      <c r="E50" s="54">
        <v>680.38499999999999</v>
      </c>
      <c r="F50" s="54"/>
      <c r="G50" s="54">
        <v>152.4</v>
      </c>
      <c r="H50" s="22">
        <f t="shared" si="3"/>
        <v>0</v>
      </c>
      <c r="I50" s="22">
        <f t="shared" si="4"/>
        <v>0</v>
      </c>
      <c r="J50" s="22">
        <f t="shared" si="5"/>
        <v>0</v>
      </c>
    </row>
    <row r="51" spans="1:10" x14ac:dyDescent="0.25">
      <c r="A51" s="23">
        <v>50</v>
      </c>
      <c r="B51" s="24"/>
      <c r="C51" s="24"/>
      <c r="D51" s="54"/>
      <c r="E51" s="54">
        <v>680.38499999999999</v>
      </c>
      <c r="F51" s="54"/>
      <c r="G51" s="54">
        <v>152.4</v>
      </c>
      <c r="H51" s="22">
        <f t="shared" si="3"/>
        <v>0</v>
      </c>
      <c r="I51" s="22">
        <f t="shared" si="4"/>
        <v>0</v>
      </c>
      <c r="J51" s="22">
        <f t="shared" si="5"/>
        <v>0</v>
      </c>
    </row>
    <row r="52" spans="1:10" x14ac:dyDescent="0.25">
      <c r="A52" s="23">
        <v>51</v>
      </c>
      <c r="B52" s="24"/>
      <c r="C52" s="24"/>
      <c r="D52" s="54"/>
      <c r="E52" s="54">
        <v>680.38499999999999</v>
      </c>
      <c r="F52" s="54"/>
      <c r="G52" s="54">
        <v>152.4</v>
      </c>
      <c r="H52" s="22">
        <f t="shared" si="3"/>
        <v>0</v>
      </c>
      <c r="I52" s="22">
        <f t="shared" si="4"/>
        <v>0</v>
      </c>
      <c r="J52" s="22">
        <f t="shared" si="5"/>
        <v>0</v>
      </c>
    </row>
    <row r="53" spans="1:10" x14ac:dyDescent="0.25">
      <c r="A53" s="23">
        <v>52</v>
      </c>
      <c r="B53" s="24"/>
      <c r="C53" s="24"/>
      <c r="D53" s="54"/>
      <c r="E53" s="54">
        <v>680.38499999999999</v>
      </c>
      <c r="F53" s="54"/>
      <c r="G53" s="54">
        <v>152.4</v>
      </c>
      <c r="H53" s="22">
        <f t="shared" si="3"/>
        <v>0</v>
      </c>
      <c r="I53" s="22">
        <f t="shared" si="4"/>
        <v>0</v>
      </c>
      <c r="J53" s="22">
        <f t="shared" si="5"/>
        <v>0</v>
      </c>
    </row>
    <row r="54" spans="1:10" x14ac:dyDescent="0.25">
      <c r="A54" s="23">
        <v>53</v>
      </c>
      <c r="B54" s="24"/>
      <c r="C54" s="24"/>
      <c r="D54" s="54"/>
      <c r="E54" s="54">
        <v>680.38499999999999</v>
      </c>
      <c r="F54" s="54"/>
      <c r="G54" s="54">
        <v>152.4</v>
      </c>
      <c r="H54" s="22">
        <f t="shared" si="3"/>
        <v>0</v>
      </c>
      <c r="I54" s="22">
        <f t="shared" si="4"/>
        <v>0</v>
      </c>
      <c r="J54" s="22">
        <f t="shared" si="5"/>
        <v>0</v>
      </c>
    </row>
    <row r="55" spans="1:10" x14ac:dyDescent="0.25">
      <c r="A55" s="23">
        <v>54</v>
      </c>
      <c r="B55" s="24"/>
      <c r="C55" s="24"/>
      <c r="D55" s="54"/>
      <c r="E55" s="54">
        <v>680.38499999999999</v>
      </c>
      <c r="F55" s="54"/>
      <c r="G55" s="54">
        <v>152.4</v>
      </c>
      <c r="H55" s="22">
        <f t="shared" si="3"/>
        <v>0</v>
      </c>
      <c r="I55" s="22">
        <f t="shared" si="4"/>
        <v>0</v>
      </c>
      <c r="J55" s="22">
        <f t="shared" si="5"/>
        <v>0</v>
      </c>
    </row>
    <row r="56" spans="1:10" x14ac:dyDescent="0.25">
      <c r="A56" s="23">
        <v>55</v>
      </c>
      <c r="B56" s="24"/>
      <c r="C56" s="24"/>
      <c r="D56" s="54"/>
      <c r="E56" s="54">
        <v>680.38499999999999</v>
      </c>
      <c r="F56" s="54"/>
      <c r="G56" s="54">
        <v>152.4</v>
      </c>
      <c r="H56" s="22">
        <f t="shared" si="3"/>
        <v>0</v>
      </c>
      <c r="I56" s="22">
        <f t="shared" si="4"/>
        <v>0</v>
      </c>
      <c r="J56" s="22">
        <f t="shared" si="5"/>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3</vt:i4>
      </vt:variant>
      <vt:variant>
        <vt:lpstr>Named Ranges</vt:lpstr>
      </vt:variant>
      <vt:variant>
        <vt:i4>1</vt:i4>
      </vt:variant>
    </vt:vector>
  </HeadingPairs>
  <TitlesOfParts>
    <vt:vector size="8" baseType="lpstr">
      <vt:lpstr>Instrukcija</vt:lpstr>
      <vt:lpstr>Aprēķins</vt:lpstr>
      <vt:lpstr>Izmēru tabula</vt:lpstr>
      <vt:lpstr>Telīšu datu ievade</vt:lpstr>
      <vt:lpstr>Dzīvmasas grafiks</vt:lpstr>
      <vt:lpstr>Auguma grafiks</vt:lpstr>
      <vt:lpstr>% no pieaugušās govs</vt:lpstr>
      <vt:lpstr>'Izmēru tabula'!Print_Area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dc:creator>
  <cp:lastModifiedBy>Silvija Dreijere</cp:lastModifiedBy>
  <cp:lastPrinted>2013-06-07T18:43:48Z</cp:lastPrinted>
  <dcterms:created xsi:type="dcterms:W3CDTF">2013-03-13T12:49:36Z</dcterms:created>
  <dcterms:modified xsi:type="dcterms:W3CDTF">2014-12-16T05:12:15Z</dcterms:modified>
</cp:coreProperties>
</file>