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35" activeTab="2"/>
  </bookViews>
  <sheets>
    <sheet name="bez iepirkšanas" sheetId="1" r:id="rId1"/>
    <sheet name="ar iepirkšanu" sheetId="2" r:id="rId2"/>
    <sheet name="jaunais ganāmpulks" sheetId="3" r:id="rId3"/>
  </sheets>
  <definedNames/>
  <calcPr fullCalcOnLoad="1"/>
</workbook>
</file>

<file path=xl/comments3.xml><?xml version="1.0" encoding="utf-8"?>
<comments xmlns="http://schemas.openxmlformats.org/spreadsheetml/2006/main">
  <authors>
    <author>A satisfied Microsoft Office user</author>
  </authors>
  <commentList>
    <comment ref="C16" authorId="0">
      <text>
        <r>
          <rPr>
            <sz val="8"/>
            <rFont val="Tahoma"/>
            <family val="2"/>
          </rPr>
          <t>Cows remaining after culling the new purchases.  New purchase culls are then replaced once.</t>
        </r>
      </text>
    </comment>
    <comment ref="C18" authorId="0">
      <text>
        <r>
          <rPr>
            <sz val="8"/>
            <rFont val="Tahoma"/>
            <family val="2"/>
          </rPr>
          <t>Replacements for culls of new purchases in year 1.</t>
        </r>
      </text>
    </comment>
  </commentList>
</comments>
</file>

<file path=xl/sharedStrings.xml><?xml version="1.0" encoding="utf-8"?>
<sst xmlns="http://schemas.openxmlformats.org/spreadsheetml/2006/main" count="210" uniqueCount="50">
  <si>
    <t>Ganāmpulka paplašināšanas plāns bez dzīvnieku iepirkšanas</t>
  </si>
  <si>
    <t>Slaucamās govis, gads 0:</t>
  </si>
  <si>
    <t>Izmaiņas ievada lauciņos ar zilu krāsu vai zaļajos</t>
  </si>
  <si>
    <t>Brāķēšanas %:</t>
  </si>
  <si>
    <t>1.laktācija</t>
  </si>
  <si>
    <t>2+ laktācija</t>
  </si>
  <si>
    <t>Jaunu dzīvnieku iepirkšana</t>
  </si>
  <si>
    <t>Telīšu neauglības %:</t>
  </si>
  <si>
    <t>Nedzīvi dzimuši/miruši pēc dzimš. teļi:</t>
  </si>
  <si>
    <t>Telīšu %:</t>
  </si>
  <si>
    <t>Vēlamais ganāmpulka lielums:</t>
  </si>
  <si>
    <t>Starpatnešanās periods (mēn.):</t>
  </si>
  <si>
    <t>Slaucamās govis (pēc brāķēšanas)</t>
  </si>
  <si>
    <t>Pirmpienes</t>
  </si>
  <si>
    <t>Pirktās pirmpienes</t>
  </si>
  <si>
    <t>Pirktās pieaugušās govis</t>
  </si>
  <si>
    <t>Kopējais dzīvnieku skaits</t>
  </si>
  <si>
    <t>Telītes pārdošanai</t>
  </si>
  <si>
    <t>Jaunā ganāmpulka lielums</t>
  </si>
  <si>
    <t>Brāķēšana</t>
  </si>
  <si>
    <t xml:space="preserve">   1 laktācija</t>
  </si>
  <si>
    <t xml:space="preserve">   2+ laktācija</t>
  </si>
  <si>
    <t>iepirktās</t>
  </si>
  <si>
    <t>bullīši</t>
  </si>
  <si>
    <t>telītes: 1-12 mēneši</t>
  </si>
  <si>
    <t>telītes: 13-24 mēneši</t>
  </si>
  <si>
    <t>1 gads</t>
  </si>
  <si>
    <t>2 gads</t>
  </si>
  <si>
    <t>3 gads</t>
  </si>
  <si>
    <t>4 gads</t>
  </si>
  <si>
    <t>5 gads</t>
  </si>
  <si>
    <t>6 gads</t>
  </si>
  <si>
    <t>7 gads</t>
  </si>
  <si>
    <t>8 gads</t>
  </si>
  <si>
    <t>9 gads</t>
  </si>
  <si>
    <t>10 gads</t>
  </si>
  <si>
    <t>Kopā</t>
  </si>
  <si>
    <t>Ganāmpulka lieluma plānošana ar mērķi to paplašināt</t>
  </si>
  <si>
    <t>lapas lejā ievadiet izejas skaitli)</t>
  </si>
  <si>
    <t>kopā</t>
  </si>
  <si>
    <t>Telīšu izaudzēšana? (Jā/nē)</t>
  </si>
  <si>
    <t>jā</t>
  </si>
  <si>
    <t>Piezīme: Brāķētiem, pirktiem dzīvniekiem un teļiem aprēķins sākas no 1 gads</t>
  </si>
  <si>
    <t>sākums</t>
  </si>
  <si>
    <t>(sk.iepr.lapu ganāmpulka paplašināšanai)</t>
  </si>
  <si>
    <t>(sk.nāk. lapu, lai ievadītu jauno ganāmpulku)</t>
  </si>
  <si>
    <t>Izmaiņas ganāmpulkā</t>
  </si>
  <si>
    <t>Ganāmpulka lieluma aprēķins jauna ganāmpulka plānošanai</t>
  </si>
  <si>
    <t>Sākuma ganāmpulks</t>
  </si>
  <si>
    <t>Šeit ievadiet faktiskos skaitļus</t>
  </si>
</sst>
</file>

<file path=xl/styles.xml><?xml version="1.0" encoding="utf-8"?>
<styleSheet xmlns="http://schemas.openxmlformats.org/spreadsheetml/2006/main">
  <numFmts count="2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0.0"/>
    <numFmt numFmtId="174" formatCode="0.00_)"/>
    <numFmt numFmtId="175" formatCode="mm/dd/yy"/>
    <numFmt numFmtId="176" formatCode="\$#,##0.00;[Red]\-\$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sz val="10"/>
      <name val="Helv"/>
      <family val="0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Helv"/>
      <family val="0"/>
    </font>
    <font>
      <b/>
      <sz val="11"/>
      <name val="Helv"/>
      <family val="0"/>
    </font>
    <font>
      <b/>
      <i/>
      <sz val="16"/>
      <name val="Helv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5" fillId="0" borderId="0">
      <alignment/>
      <protection/>
    </xf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6" fontId="6" fillId="0" borderId="0">
      <alignment horizontal="center"/>
      <protection/>
    </xf>
    <xf numFmtId="168" fontId="0" fillId="0" borderId="0" applyFont="0" applyFill="0" applyBorder="0" applyAlignment="0" applyProtection="0"/>
    <xf numFmtId="175" fontId="7" fillId="0" borderId="3" applyFont="0" applyFill="0" applyBorder="0" applyAlignment="0"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38" fontId="8" fillId="30" borderId="0" applyNumberFormat="0" applyBorder="0" applyAlignment="0" applyProtection="0"/>
    <xf numFmtId="0" fontId="9" fillId="0" borderId="0">
      <alignment horizontal="left"/>
      <protection/>
    </xf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1" borderId="1" applyNumberFormat="0" applyAlignment="0" applyProtection="0"/>
    <xf numFmtId="10" fontId="8" fillId="30" borderId="7" applyNumberFormat="0" applyBorder="0" applyAlignment="0" applyProtection="0"/>
    <xf numFmtId="0" fontId="49" fillId="0" borderId="8" applyNumberFormat="0" applyFill="0" applyAlignment="0" applyProtection="0"/>
    <xf numFmtId="0" fontId="10" fillId="0" borderId="9">
      <alignment/>
      <protection/>
    </xf>
    <xf numFmtId="0" fontId="50" fillId="32" borderId="0" applyNumberFormat="0" applyBorder="0" applyAlignment="0" applyProtection="0"/>
    <xf numFmtId="174" fontId="11" fillId="0" borderId="0">
      <alignment/>
      <protection/>
    </xf>
    <xf numFmtId="0" fontId="0" fillId="33" borderId="10" applyNumberFormat="0" applyFont="0" applyAlignment="0" applyProtection="0"/>
    <xf numFmtId="0" fontId="51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12" applyNumberFormat="0" applyFill="0" applyAlignment="0" applyProtection="0"/>
    <xf numFmtId="0" fontId="5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right"/>
      <protection/>
    </xf>
    <xf numFmtId="0" fontId="0" fillId="0" borderId="13" xfId="0" applyFont="1" applyBorder="1" applyAlignment="1">
      <alignment/>
    </xf>
    <xf numFmtId="0" fontId="0" fillId="0" borderId="14" xfId="0" applyFont="1" applyBorder="1" applyAlignment="1" applyProtection="1">
      <alignment horizontal="right"/>
      <protection/>
    </xf>
    <xf numFmtId="0" fontId="0" fillId="0" borderId="15" xfId="0" applyFont="1" applyBorder="1" applyAlignment="1" applyProtection="1">
      <alignment horizontal="right"/>
      <protection/>
    </xf>
    <xf numFmtId="0" fontId="0" fillId="0" borderId="3" xfId="0" applyFont="1" applyBorder="1" applyAlignment="1" applyProtection="1">
      <alignment horizontal="left"/>
      <protection/>
    </xf>
    <xf numFmtId="172" fontId="0" fillId="0" borderId="0" xfId="0" applyNumberFormat="1" applyFont="1" applyBorder="1" applyAlignment="1" applyProtection="1">
      <alignment/>
      <protection/>
    </xf>
    <xf numFmtId="172" fontId="0" fillId="0" borderId="16" xfId="0" applyNumberFormat="1" applyFont="1" applyBorder="1" applyAlignment="1" applyProtection="1">
      <alignment/>
      <protection/>
    </xf>
    <xf numFmtId="0" fontId="0" fillId="0" borderId="17" xfId="0" applyFont="1" applyBorder="1" applyAlignment="1" applyProtection="1">
      <alignment horizontal="left"/>
      <protection/>
    </xf>
    <xf numFmtId="172" fontId="0" fillId="0" borderId="18" xfId="0" applyNumberFormat="1" applyFont="1" applyBorder="1" applyAlignment="1" applyProtection="1">
      <alignment/>
      <protection/>
    </xf>
    <xf numFmtId="172" fontId="0" fillId="0" borderId="19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172" fontId="0" fillId="0" borderId="20" xfId="0" applyNumberFormat="1" applyFont="1" applyBorder="1" applyAlignment="1" applyProtection="1">
      <alignment/>
      <protection/>
    </xf>
    <xf numFmtId="0" fontId="0" fillId="0" borderId="16" xfId="0" applyFont="1" applyBorder="1" applyAlignment="1">
      <alignment/>
    </xf>
    <xf numFmtId="172" fontId="0" fillId="0" borderId="21" xfId="0" applyNumberFormat="1" applyFont="1" applyBorder="1" applyAlignment="1" applyProtection="1">
      <alignment/>
      <protection/>
    </xf>
    <xf numFmtId="0" fontId="0" fillId="0" borderId="17" xfId="0" applyFont="1" applyBorder="1" applyAlignment="1">
      <alignment/>
    </xf>
    <xf numFmtId="172" fontId="3" fillId="34" borderId="18" xfId="0" applyNumberFormat="1" applyFont="1" applyFill="1" applyBorder="1" applyAlignment="1" applyProtection="1">
      <alignment/>
      <protection/>
    </xf>
    <xf numFmtId="0" fontId="3" fillId="34" borderId="0" xfId="0" applyFont="1" applyFill="1" applyAlignment="1" applyProtection="1">
      <alignment/>
      <protection locked="0"/>
    </xf>
    <xf numFmtId="0" fontId="3" fillId="34" borderId="0" xfId="0" applyFont="1" applyFill="1" applyBorder="1" applyAlignment="1" applyProtection="1">
      <alignment/>
      <protection locked="0"/>
    </xf>
    <xf numFmtId="9" fontId="3" fillId="34" borderId="0" xfId="67" applyFont="1" applyFill="1" applyBorder="1" applyAlignment="1" applyProtection="1">
      <alignment/>
      <protection locked="0"/>
    </xf>
    <xf numFmtId="172" fontId="3" fillId="34" borderId="22" xfId="0" applyNumberFormat="1" applyFont="1" applyFill="1" applyBorder="1" applyAlignment="1" applyProtection="1">
      <alignment/>
      <protection locked="0"/>
    </xf>
    <xf numFmtId="172" fontId="3" fillId="34" borderId="20" xfId="0" applyNumberFormat="1" applyFont="1" applyFill="1" applyBorder="1" applyAlignment="1" applyProtection="1">
      <alignment/>
      <protection/>
    </xf>
    <xf numFmtId="172" fontId="3" fillId="34" borderId="17" xfId="0" applyNumberFormat="1" applyFont="1" applyFill="1" applyBorder="1" applyAlignment="1" applyProtection="1">
      <alignment/>
      <protection locked="0"/>
    </xf>
    <xf numFmtId="172" fontId="0" fillId="35" borderId="0" xfId="0" applyNumberFormat="1" applyFont="1" applyFill="1" applyBorder="1" applyAlignment="1" applyProtection="1">
      <alignment/>
      <protection/>
    </xf>
    <xf numFmtId="172" fontId="0" fillId="35" borderId="16" xfId="0" applyNumberFormat="1" applyFont="1" applyFill="1" applyBorder="1" applyAlignment="1" applyProtection="1">
      <alignment/>
      <protection/>
    </xf>
    <xf numFmtId="172" fontId="0" fillId="35" borderId="18" xfId="0" applyNumberFormat="1" applyFont="1" applyFill="1" applyBorder="1" applyAlignment="1" applyProtection="1">
      <alignment/>
      <protection/>
    </xf>
    <xf numFmtId="172" fontId="0" fillId="35" borderId="19" xfId="0" applyNumberFormat="1" applyFont="1" applyFill="1" applyBorder="1" applyAlignment="1" applyProtection="1">
      <alignment/>
      <protection/>
    </xf>
    <xf numFmtId="0" fontId="3" fillId="35" borderId="13" xfId="0" applyFont="1" applyFill="1" applyBorder="1" applyAlignment="1" applyProtection="1">
      <alignment/>
      <protection locked="0"/>
    </xf>
    <xf numFmtId="0" fontId="3" fillId="35" borderId="14" xfId="0" applyFont="1" applyFill="1" applyBorder="1" applyAlignment="1" applyProtection="1">
      <alignment/>
      <protection locked="0"/>
    </xf>
    <xf numFmtId="0" fontId="3" fillId="35" borderId="15" xfId="0" applyFont="1" applyFill="1" applyBorder="1" applyAlignment="1" applyProtection="1">
      <alignment/>
      <protection locked="0"/>
    </xf>
    <xf numFmtId="0" fontId="3" fillId="34" borderId="7" xfId="0" applyFont="1" applyFill="1" applyBorder="1" applyAlignment="1" applyProtection="1">
      <alignment/>
      <protection locked="0"/>
    </xf>
    <xf numFmtId="0" fontId="0" fillId="0" borderId="22" xfId="0" applyFont="1" applyBorder="1" applyAlignment="1" applyProtection="1">
      <alignment horizontal="left"/>
      <protection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9" fontId="3" fillId="34" borderId="16" xfId="67" applyFont="1" applyFill="1" applyBorder="1" applyAlignment="1" applyProtection="1">
      <alignment/>
      <protection locked="0"/>
    </xf>
    <xf numFmtId="173" fontId="3" fillId="34" borderId="18" xfId="0" applyNumberFormat="1" applyFont="1" applyFill="1" applyBorder="1" applyAlignment="1" applyProtection="1">
      <alignment/>
      <protection locked="0"/>
    </xf>
    <xf numFmtId="173" fontId="3" fillId="34" borderId="19" xfId="0" applyNumberFormat="1" applyFont="1" applyFill="1" applyBorder="1" applyAlignment="1" applyProtection="1">
      <alignment/>
      <protection locked="0"/>
    </xf>
    <xf numFmtId="172" fontId="0" fillId="34" borderId="20" xfId="0" applyNumberFormat="1" applyFont="1" applyFill="1" applyBorder="1" applyAlignment="1" applyProtection="1">
      <alignment/>
      <protection locked="0"/>
    </xf>
    <xf numFmtId="172" fontId="0" fillId="35" borderId="13" xfId="0" applyNumberFormat="1" applyFont="1" applyFill="1" applyBorder="1" applyAlignment="1" applyProtection="1">
      <alignment/>
      <protection/>
    </xf>
    <xf numFmtId="172" fontId="0" fillId="35" borderId="14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14" fillId="0" borderId="18" xfId="0" applyFont="1" applyFill="1" applyBorder="1" applyAlignment="1" applyProtection="1">
      <alignment/>
      <protection locked="0"/>
    </xf>
    <xf numFmtId="0" fontId="0" fillId="0" borderId="3" xfId="0" applyFont="1" applyBorder="1" applyAlignment="1">
      <alignment/>
    </xf>
    <xf numFmtId="0" fontId="15" fillId="0" borderId="0" xfId="0" applyFont="1" applyAlignment="1">
      <alignment/>
    </xf>
    <xf numFmtId="0" fontId="0" fillId="0" borderId="20" xfId="0" applyFont="1" applyBorder="1" applyAlignment="1" applyProtection="1">
      <alignment horizontal="left"/>
      <protection/>
    </xf>
    <xf numFmtId="0" fontId="0" fillId="0" borderId="14" xfId="0" applyFont="1" applyBorder="1" applyAlignment="1">
      <alignment horizontal="right"/>
    </xf>
    <xf numFmtId="172" fontId="0" fillId="34" borderId="0" xfId="0" applyNumberFormat="1" applyFont="1" applyFill="1" applyBorder="1" applyAlignment="1" applyProtection="1">
      <alignment/>
      <protection/>
    </xf>
    <xf numFmtId="172" fontId="0" fillId="34" borderId="18" xfId="0" applyNumberFormat="1" applyFont="1" applyFill="1" applyBorder="1" applyAlignment="1" applyProtection="1">
      <alignment/>
      <protection/>
    </xf>
    <xf numFmtId="0" fontId="3" fillId="0" borderId="7" xfId="0" applyFont="1" applyBorder="1" applyAlignment="1" applyProtection="1">
      <alignment horizontal="left"/>
      <protection/>
    </xf>
    <xf numFmtId="0" fontId="3" fillId="0" borderId="7" xfId="0" applyFont="1" applyBorder="1" applyAlignment="1" applyProtection="1">
      <alignment horizontal="center"/>
      <protection/>
    </xf>
    <xf numFmtId="172" fontId="3" fillId="0" borderId="0" xfId="0" applyNumberFormat="1" applyFont="1" applyBorder="1" applyAlignment="1" applyProtection="1">
      <alignment/>
      <protection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172" fontId="0" fillId="36" borderId="0" xfId="0" applyNumberFormat="1" applyFont="1" applyFill="1" applyBorder="1" applyAlignment="1" applyProtection="1">
      <alignment/>
      <protection/>
    </xf>
    <xf numFmtId="172" fontId="0" fillId="36" borderId="18" xfId="0" applyNumberFormat="1" applyFont="1" applyFill="1" applyBorder="1" applyAlignment="1" applyProtection="1">
      <alignment/>
      <protection/>
    </xf>
    <xf numFmtId="172" fontId="3" fillId="36" borderId="18" xfId="0" applyNumberFormat="1" applyFont="1" applyFill="1" applyBorder="1" applyAlignment="1" applyProtection="1">
      <alignment/>
      <protection/>
    </xf>
    <xf numFmtId="172" fontId="3" fillId="36" borderId="0" xfId="0" applyNumberFormat="1" applyFont="1" applyFill="1" applyBorder="1" applyAlignment="1" applyProtection="1">
      <alignment/>
      <protection/>
    </xf>
    <xf numFmtId="0" fontId="0" fillId="36" borderId="14" xfId="0" applyFont="1" applyFill="1" applyBorder="1" applyAlignment="1">
      <alignment horizontal="right"/>
    </xf>
    <xf numFmtId="0" fontId="0" fillId="36" borderId="3" xfId="0" applyFont="1" applyFill="1" applyBorder="1" applyAlignment="1" applyProtection="1">
      <alignment horizontal="left"/>
      <protection/>
    </xf>
    <xf numFmtId="0" fontId="0" fillId="36" borderId="0" xfId="0" applyFont="1" applyFill="1" applyAlignment="1">
      <alignment/>
    </xf>
    <xf numFmtId="0" fontId="0" fillId="0" borderId="0" xfId="0" applyFont="1" applyFill="1" applyBorder="1" applyAlignment="1" applyProtection="1">
      <alignment horizontal="right"/>
      <protection/>
    </xf>
    <xf numFmtId="172" fontId="0" fillId="0" borderId="0" xfId="0" applyNumberFormat="1" applyFont="1" applyAlignment="1">
      <alignment/>
    </xf>
    <xf numFmtId="0" fontId="0" fillId="0" borderId="3" xfId="0" applyFont="1" applyBorder="1" applyAlignment="1">
      <alignment horizontal="right"/>
    </xf>
    <xf numFmtId="172" fontId="0" fillId="0" borderId="3" xfId="0" applyNumberFormat="1" applyFont="1" applyBorder="1" applyAlignment="1">
      <alignment/>
    </xf>
    <xf numFmtId="0" fontId="17" fillId="0" borderId="0" xfId="0" applyFont="1" applyBorder="1" applyAlignment="1" applyProtection="1">
      <alignment horizontal="left"/>
      <protection/>
    </xf>
    <xf numFmtId="172" fontId="17" fillId="0" borderId="0" xfId="0" applyNumberFormat="1" applyFont="1" applyBorder="1" applyAlignment="1" applyProtection="1">
      <alignment/>
      <protection/>
    </xf>
    <xf numFmtId="172" fontId="14" fillId="0" borderId="0" xfId="0" applyNumberFormat="1" applyFont="1" applyBorder="1" applyAlignment="1" applyProtection="1">
      <alignment/>
      <protection/>
    </xf>
    <xf numFmtId="172" fontId="14" fillId="0" borderId="18" xfId="0" applyNumberFormat="1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/>
      <protection/>
    </xf>
    <xf numFmtId="0" fontId="18" fillId="0" borderId="0" xfId="0" applyFont="1" applyAlignment="1" applyProtection="1">
      <alignment horizontal="left"/>
      <protection/>
    </xf>
    <xf numFmtId="0" fontId="0" fillId="37" borderId="0" xfId="0" applyFont="1" applyFill="1" applyAlignment="1">
      <alignment/>
    </xf>
    <xf numFmtId="0" fontId="47" fillId="0" borderId="0" xfId="58" applyAlignment="1" applyProtection="1">
      <alignment/>
      <protection/>
    </xf>
    <xf numFmtId="0" fontId="0" fillId="0" borderId="3" xfId="0" applyFont="1" applyFill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 wrapText="1"/>
      <protection/>
    </xf>
    <xf numFmtId="0" fontId="12" fillId="0" borderId="0" xfId="0" applyFont="1" applyAlignment="1">
      <alignment horizont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tegory" xfId="41"/>
    <cellStyle name="Check Cell" xfId="42"/>
    <cellStyle name="Comma" xfId="43"/>
    <cellStyle name="Comma [0]" xfId="44"/>
    <cellStyle name="Currency" xfId="45"/>
    <cellStyle name="Currency $" xfId="46"/>
    <cellStyle name="Currency [0]" xfId="47"/>
    <cellStyle name="date" xfId="48"/>
    <cellStyle name="Explanatory Text" xfId="49"/>
    <cellStyle name="Followed Hyperlink" xfId="50"/>
    <cellStyle name="Good" xfId="51"/>
    <cellStyle name="Grey" xfId="52"/>
    <cellStyle name="HEADER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Input [yellow]" xfId="60"/>
    <cellStyle name="Linked Cell" xfId="61"/>
    <cellStyle name="Model" xfId="62"/>
    <cellStyle name="Neutral" xfId="63"/>
    <cellStyle name="Normal - Style1" xfId="64"/>
    <cellStyle name="Note" xfId="65"/>
    <cellStyle name="Output" xfId="66"/>
    <cellStyle name="Percent" xfId="67"/>
    <cellStyle name="Percent [2]" xfId="68"/>
    <cellStyle name="subhead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1">
      <selection activeCell="A30" sqref="A30"/>
    </sheetView>
  </sheetViews>
  <sheetFormatPr defaultColWidth="11.00390625" defaultRowHeight="12.75"/>
  <cols>
    <col min="1" max="1" width="35.140625" style="3" customWidth="1"/>
    <col min="2" max="11" width="6.7109375" style="3" customWidth="1"/>
    <col min="12" max="12" width="6.28125" style="3" customWidth="1"/>
    <col min="13" max="16384" width="11.00390625" style="3" customWidth="1"/>
  </cols>
  <sheetData>
    <row r="1" spans="1:7" s="2" customFormat="1" ht="18">
      <c r="A1" s="1" t="s">
        <v>0</v>
      </c>
      <c r="G1" s="45"/>
    </row>
    <row r="2" spans="1:7" ht="12.75">
      <c r="A2" s="76"/>
      <c r="G2" s="48"/>
    </row>
    <row r="3" spans="1:4" ht="12.75">
      <c r="A3" s="4" t="s">
        <v>1</v>
      </c>
      <c r="B3" s="22">
        <v>250</v>
      </c>
      <c r="D3" s="46" t="s">
        <v>2</v>
      </c>
    </row>
    <row r="4" spans="1:12" ht="12.75">
      <c r="A4" s="5"/>
      <c r="B4" s="6">
        <v>2014</v>
      </c>
      <c r="C4" s="6">
        <f aca="true" t="shared" si="0" ref="C4:K4">B4+1</f>
        <v>2015</v>
      </c>
      <c r="D4" s="6">
        <f t="shared" si="0"/>
        <v>2016</v>
      </c>
      <c r="E4" s="6">
        <f t="shared" si="0"/>
        <v>2017</v>
      </c>
      <c r="F4" s="6">
        <f t="shared" si="0"/>
        <v>2018</v>
      </c>
      <c r="G4" s="6">
        <f t="shared" si="0"/>
        <v>2019</v>
      </c>
      <c r="H4" s="6">
        <f t="shared" si="0"/>
        <v>2020</v>
      </c>
      <c r="I4" s="6">
        <f t="shared" si="0"/>
        <v>2021</v>
      </c>
      <c r="J4" s="6">
        <f t="shared" si="0"/>
        <v>2022</v>
      </c>
      <c r="K4" s="7">
        <f t="shared" si="0"/>
        <v>2023</v>
      </c>
      <c r="L4" s="67" t="s">
        <v>36</v>
      </c>
    </row>
    <row r="5" spans="1:12" ht="12.75">
      <c r="A5" s="36" t="s">
        <v>3</v>
      </c>
      <c r="B5" s="37"/>
      <c r="C5" s="37"/>
      <c r="D5" s="37"/>
      <c r="E5" s="37"/>
      <c r="F5" s="37"/>
      <c r="G5" s="37"/>
      <c r="H5" s="37"/>
      <c r="I5" s="37"/>
      <c r="J5" s="37"/>
      <c r="K5" s="38"/>
      <c r="L5" s="47"/>
    </row>
    <row r="6" spans="1:12" ht="12.75">
      <c r="A6" s="8" t="s">
        <v>4</v>
      </c>
      <c r="B6" s="24">
        <v>0.3</v>
      </c>
      <c r="C6" s="24">
        <v>0.3</v>
      </c>
      <c r="D6" s="24">
        <v>0.3</v>
      </c>
      <c r="E6" s="24">
        <v>0.3</v>
      </c>
      <c r="F6" s="24">
        <v>0.3</v>
      </c>
      <c r="G6" s="24">
        <v>0.3</v>
      </c>
      <c r="H6" s="24">
        <v>0.3</v>
      </c>
      <c r="I6" s="24">
        <v>0.3</v>
      </c>
      <c r="J6" s="24">
        <v>0.3</v>
      </c>
      <c r="K6" s="39">
        <v>0.3</v>
      </c>
      <c r="L6" s="47"/>
    </row>
    <row r="7" spans="1:12" ht="12.75">
      <c r="A7" s="8" t="s">
        <v>5</v>
      </c>
      <c r="B7" s="24">
        <v>0.35</v>
      </c>
      <c r="C7" s="24">
        <v>0.35</v>
      </c>
      <c r="D7" s="24">
        <v>0.35</v>
      </c>
      <c r="E7" s="24">
        <v>0.35</v>
      </c>
      <c r="F7" s="24">
        <v>0.35</v>
      </c>
      <c r="G7" s="24">
        <v>0.35</v>
      </c>
      <c r="H7" s="24">
        <v>0.35</v>
      </c>
      <c r="I7" s="24">
        <v>0.35</v>
      </c>
      <c r="J7" s="24">
        <v>0.35</v>
      </c>
      <c r="K7" s="39">
        <v>0.35</v>
      </c>
      <c r="L7" s="47"/>
    </row>
    <row r="8" spans="1:12" ht="12.75">
      <c r="A8" s="8" t="s">
        <v>6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39">
        <v>0</v>
      </c>
      <c r="L8" s="47"/>
    </row>
    <row r="9" spans="1:12" ht="12.75">
      <c r="A9" s="8" t="s">
        <v>8</v>
      </c>
      <c r="B9" s="24">
        <v>0.15</v>
      </c>
      <c r="C9" s="24">
        <v>0.15</v>
      </c>
      <c r="D9" s="24">
        <v>0.15</v>
      </c>
      <c r="E9" s="24">
        <v>0.15</v>
      </c>
      <c r="F9" s="24">
        <v>0.15</v>
      </c>
      <c r="G9" s="24">
        <v>0.15</v>
      </c>
      <c r="H9" s="24">
        <v>0.15</v>
      </c>
      <c r="I9" s="24">
        <v>0.15</v>
      </c>
      <c r="J9" s="24">
        <v>0.15</v>
      </c>
      <c r="K9" s="39">
        <v>0.15</v>
      </c>
      <c r="L9" s="47"/>
    </row>
    <row r="10" spans="1:12" ht="12.75">
      <c r="A10" s="8" t="s">
        <v>7</v>
      </c>
      <c r="B10" s="24">
        <v>0.02</v>
      </c>
      <c r="C10" s="24">
        <v>0.02</v>
      </c>
      <c r="D10" s="24">
        <v>0.02</v>
      </c>
      <c r="E10" s="24">
        <v>0.02</v>
      </c>
      <c r="F10" s="24">
        <v>0.02</v>
      </c>
      <c r="G10" s="24">
        <v>0.02</v>
      </c>
      <c r="H10" s="24">
        <v>0.02</v>
      </c>
      <c r="I10" s="24">
        <v>0.02</v>
      </c>
      <c r="J10" s="24">
        <v>0.02</v>
      </c>
      <c r="K10" s="39">
        <v>0.02</v>
      </c>
      <c r="L10" s="47"/>
    </row>
    <row r="11" spans="1:12" ht="12.75">
      <c r="A11" s="8" t="s">
        <v>9</v>
      </c>
      <c r="B11" s="24">
        <v>0.49</v>
      </c>
      <c r="C11" s="24">
        <v>0.49</v>
      </c>
      <c r="D11" s="24">
        <v>0.49</v>
      </c>
      <c r="E11" s="24">
        <v>0.49</v>
      </c>
      <c r="F11" s="24">
        <v>0.49</v>
      </c>
      <c r="G11" s="24">
        <v>0.49</v>
      </c>
      <c r="H11" s="24">
        <v>0.49</v>
      </c>
      <c r="I11" s="24">
        <v>0.49</v>
      </c>
      <c r="J11" s="24">
        <v>0.49</v>
      </c>
      <c r="K11" s="39">
        <v>0.49</v>
      </c>
      <c r="L11" s="47"/>
    </row>
    <row r="12" spans="1:12" ht="12.75">
      <c r="A12" s="8" t="s">
        <v>10</v>
      </c>
      <c r="B12" s="32">
        <v>250</v>
      </c>
      <c r="C12" s="33">
        <v>270</v>
      </c>
      <c r="D12" s="33">
        <v>300</v>
      </c>
      <c r="E12" s="33">
        <v>300</v>
      </c>
      <c r="F12" s="33">
        <v>350</v>
      </c>
      <c r="G12" s="33">
        <v>500</v>
      </c>
      <c r="H12" s="33">
        <v>500</v>
      </c>
      <c r="I12" s="33">
        <v>500</v>
      </c>
      <c r="J12" s="33">
        <v>500</v>
      </c>
      <c r="K12" s="34">
        <v>500</v>
      </c>
      <c r="L12" s="47"/>
    </row>
    <row r="13" spans="1:12" ht="12.75">
      <c r="A13" s="11" t="s">
        <v>11</v>
      </c>
      <c r="B13" s="40">
        <v>14.5</v>
      </c>
      <c r="C13" s="40">
        <v>14.5</v>
      </c>
      <c r="D13" s="40">
        <v>14.5</v>
      </c>
      <c r="E13" s="40">
        <v>14.5</v>
      </c>
      <c r="F13" s="40">
        <v>14.5</v>
      </c>
      <c r="G13" s="40">
        <v>14.5</v>
      </c>
      <c r="H13" s="40">
        <v>14.5</v>
      </c>
      <c r="I13" s="40">
        <v>14.5</v>
      </c>
      <c r="J13" s="40">
        <v>14.5</v>
      </c>
      <c r="K13" s="41">
        <v>14.5</v>
      </c>
      <c r="L13" s="47"/>
    </row>
    <row r="14" ht="12.75">
      <c r="L14" s="47"/>
    </row>
    <row r="15" spans="1:12" ht="12.75">
      <c r="A15" s="5"/>
      <c r="B15" s="6" t="s">
        <v>26</v>
      </c>
      <c r="C15" s="6" t="s">
        <v>27</v>
      </c>
      <c r="D15" s="6" t="s">
        <v>28</v>
      </c>
      <c r="E15" s="6" t="s">
        <v>29</v>
      </c>
      <c r="F15" s="6" t="s">
        <v>30</v>
      </c>
      <c r="G15" s="6" t="s">
        <v>31</v>
      </c>
      <c r="H15" s="6" t="s">
        <v>32</v>
      </c>
      <c r="I15" s="6" t="s">
        <v>33</v>
      </c>
      <c r="J15" s="6" t="s">
        <v>34</v>
      </c>
      <c r="K15" s="6" t="s">
        <v>35</v>
      </c>
      <c r="L15" s="47"/>
    </row>
    <row r="16" spans="1:12" ht="12.75">
      <c r="A16" s="8" t="s">
        <v>12</v>
      </c>
      <c r="B16" s="9">
        <f>$B$3*(1-B7)</f>
        <v>162.5</v>
      </c>
      <c r="C16" s="9">
        <f aca="true" t="shared" si="1" ref="C16:K16">B$22-B$24-B$25-B$26</f>
        <v>166.875</v>
      </c>
      <c r="D16" s="9">
        <f t="shared" si="1"/>
        <v>180.65625</v>
      </c>
      <c r="E16" s="9">
        <f t="shared" si="1"/>
        <v>200.96718749999997</v>
      </c>
      <c r="F16" s="9">
        <f t="shared" si="1"/>
        <v>199.95164062500004</v>
      </c>
      <c r="G16" s="9">
        <f t="shared" si="1"/>
        <v>224.32270943081897</v>
      </c>
      <c r="H16" s="9">
        <f t="shared" si="1"/>
        <v>240.40403742707974</v>
      </c>
      <c r="I16" s="9">
        <f t="shared" si="1"/>
        <v>261.52477592728286</v>
      </c>
      <c r="J16" s="9">
        <f t="shared" si="1"/>
        <v>283.1383684419191</v>
      </c>
      <c r="K16" s="9">
        <f t="shared" si="1"/>
        <v>307.00527167177586</v>
      </c>
      <c r="L16" s="47"/>
    </row>
    <row r="17" spans="1:12" ht="12.75">
      <c r="A17" s="8" t="s">
        <v>13</v>
      </c>
      <c r="B17" s="9">
        <f>$B$3*0.5*(1-$B$9)*12/B13</f>
        <v>87.93103448275862</v>
      </c>
      <c r="C17" s="9">
        <f>B29</f>
        <v>104.82474137931032</v>
      </c>
      <c r="D17" s="9">
        <f>C29</f>
        <v>147</v>
      </c>
      <c r="E17" s="9">
        <f>D29</f>
        <v>121.38483181034482</v>
      </c>
      <c r="F17" s="9">
        <f aca="true" t="shared" si="2" ref="F17:K17">E$29</f>
        <v>134.79163289224138</v>
      </c>
      <c r="G17" s="9">
        <f t="shared" si="2"/>
        <v>135.13468042435343</v>
      </c>
      <c r="H17" s="9">
        <f t="shared" si="2"/>
        <v>150.3745022852586</v>
      </c>
      <c r="I17" s="9">
        <f t="shared" si="2"/>
        <v>161.63894869883612</v>
      </c>
      <c r="J17" s="9">
        <f t="shared" si="2"/>
        <v>175.664760263612</v>
      </c>
      <c r="K17" s="9">
        <f t="shared" si="2"/>
        <v>190.2429410601499</v>
      </c>
      <c r="L17" s="47"/>
    </row>
    <row r="18" spans="1:12" ht="12.75">
      <c r="A18" s="8" t="s">
        <v>14</v>
      </c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68">
        <f>SUM(B18:K18)</f>
        <v>0</v>
      </c>
    </row>
    <row r="19" spans="1:12" ht="12.75">
      <c r="A19" s="11" t="s">
        <v>15</v>
      </c>
      <c r="B19" s="27"/>
      <c r="C19" s="21"/>
      <c r="D19" s="21"/>
      <c r="E19" s="21"/>
      <c r="F19" s="21"/>
      <c r="G19" s="21"/>
      <c r="H19" s="21"/>
      <c r="I19" s="21"/>
      <c r="J19" s="21"/>
      <c r="K19" s="21"/>
      <c r="L19" s="68">
        <f>SUM(B19:K19)</f>
        <v>0</v>
      </c>
    </row>
    <row r="20" spans="1:12" ht="12.75">
      <c r="A20" s="8" t="s">
        <v>16</v>
      </c>
      <c r="B20" s="9">
        <f>SUM(B16:B19)</f>
        <v>250.4310344827586</v>
      </c>
      <c r="C20" s="9">
        <f>SUM(C16:C19)</f>
        <v>271.69974137931035</v>
      </c>
      <c r="D20" s="9">
        <f>SUM(D16:D19)</f>
        <v>327.65625</v>
      </c>
      <c r="E20" s="9">
        <f>SUM(E16:E19)</f>
        <v>322.35201931034476</v>
      </c>
      <c r="F20" s="9">
        <f aca="true" t="shared" si="3" ref="F20:K20">SUM(F$16:F$19)</f>
        <v>334.7432735172414</v>
      </c>
      <c r="G20" s="9">
        <f t="shared" si="3"/>
        <v>359.45738985517244</v>
      </c>
      <c r="H20" s="9">
        <f t="shared" si="3"/>
        <v>390.77853971233833</v>
      </c>
      <c r="I20" s="9">
        <f t="shared" si="3"/>
        <v>423.163724626119</v>
      </c>
      <c r="J20" s="9">
        <f t="shared" si="3"/>
        <v>458.8031287055311</v>
      </c>
      <c r="K20" s="9">
        <f t="shared" si="3"/>
        <v>497.2482127319257</v>
      </c>
      <c r="L20" s="47"/>
    </row>
    <row r="21" spans="1:12" ht="12.75">
      <c r="A21" s="8" t="s">
        <v>17</v>
      </c>
      <c r="B21" s="9">
        <f aca="true" t="shared" si="4" ref="B21:K21">IF(B20-B$12&gt;0,B20-B$12,0)</f>
        <v>0.431034482758605</v>
      </c>
      <c r="C21" s="9">
        <f t="shared" si="4"/>
        <v>1.6997413793103533</v>
      </c>
      <c r="D21" s="9">
        <f t="shared" si="4"/>
        <v>27.65625</v>
      </c>
      <c r="E21" s="9">
        <f t="shared" si="4"/>
        <v>22.352019310344758</v>
      </c>
      <c r="F21" s="9">
        <f t="shared" si="4"/>
        <v>0</v>
      </c>
      <c r="G21" s="9">
        <f t="shared" si="4"/>
        <v>0</v>
      </c>
      <c r="H21" s="9">
        <f t="shared" si="4"/>
        <v>0</v>
      </c>
      <c r="I21" s="9">
        <f t="shared" si="4"/>
        <v>0</v>
      </c>
      <c r="J21" s="9">
        <f t="shared" si="4"/>
        <v>0</v>
      </c>
      <c r="K21" s="9">
        <f t="shared" si="4"/>
        <v>0</v>
      </c>
      <c r="L21" s="68">
        <f>SUM(B21:K21)</f>
        <v>52.13904517241372</v>
      </c>
    </row>
    <row r="22" spans="1:12" ht="12.75">
      <c r="A22" s="11" t="s">
        <v>18</v>
      </c>
      <c r="B22" s="30">
        <f>B20-B21</f>
        <v>250</v>
      </c>
      <c r="C22" s="30">
        <f>C20-C21</f>
        <v>270</v>
      </c>
      <c r="D22" s="30">
        <f>D20-D21</f>
        <v>300</v>
      </c>
      <c r="E22" s="30">
        <f>E20-E21</f>
        <v>300</v>
      </c>
      <c r="F22" s="30">
        <f aca="true" t="shared" si="5" ref="F22:K22">F$20-F$21</f>
        <v>334.7432735172414</v>
      </c>
      <c r="G22" s="30">
        <f t="shared" si="5"/>
        <v>359.45738985517244</v>
      </c>
      <c r="H22" s="30">
        <f t="shared" si="5"/>
        <v>390.77853971233833</v>
      </c>
      <c r="I22" s="30">
        <f t="shared" si="5"/>
        <v>423.163724626119</v>
      </c>
      <c r="J22" s="30">
        <f t="shared" si="5"/>
        <v>458.8031287055311</v>
      </c>
      <c r="K22" s="30">
        <f t="shared" si="5"/>
        <v>497.2482127319257</v>
      </c>
      <c r="L22" s="47"/>
    </row>
    <row r="23" spans="1:12" ht="12.75">
      <c r="A23" s="8" t="s">
        <v>19</v>
      </c>
      <c r="B23" s="16"/>
      <c r="C23" s="9"/>
      <c r="D23" s="9"/>
      <c r="E23" s="9"/>
      <c r="F23" s="9"/>
      <c r="G23" s="9"/>
      <c r="H23" s="9"/>
      <c r="I23" s="9"/>
      <c r="J23" s="9"/>
      <c r="K23" s="9"/>
      <c r="L23" s="47"/>
    </row>
    <row r="24" spans="1:12" ht="12.75">
      <c r="A24" s="8" t="s">
        <v>20</v>
      </c>
      <c r="B24" s="9">
        <f aca="true" t="shared" si="6" ref="B24:K24">B$6*(B$22-B$16-B$18-B$19)</f>
        <v>26.25</v>
      </c>
      <c r="C24" s="9">
        <f t="shared" si="6"/>
        <v>30.9375</v>
      </c>
      <c r="D24" s="9">
        <f t="shared" si="6"/>
        <v>35.803125</v>
      </c>
      <c r="E24" s="9">
        <f t="shared" si="6"/>
        <v>29.709843750000008</v>
      </c>
      <c r="F24" s="9">
        <f t="shared" si="6"/>
        <v>40.437489867672404</v>
      </c>
      <c r="G24" s="9">
        <f t="shared" si="6"/>
        <v>40.54040412730604</v>
      </c>
      <c r="H24" s="9">
        <f t="shared" si="6"/>
        <v>45.112350685577574</v>
      </c>
      <c r="I24" s="9">
        <f t="shared" si="6"/>
        <v>48.49168460965084</v>
      </c>
      <c r="J24" s="9">
        <f t="shared" si="6"/>
        <v>52.699428079083596</v>
      </c>
      <c r="K24" s="9">
        <f t="shared" si="6"/>
        <v>57.072882318044954</v>
      </c>
      <c r="L24" s="68">
        <f>SUM(B24:K24)</f>
        <v>407.0547084373354</v>
      </c>
    </row>
    <row r="25" spans="1:12" ht="12.75">
      <c r="A25" s="8" t="s">
        <v>21</v>
      </c>
      <c r="B25" s="9">
        <f aca="true" t="shared" si="7" ref="B25:K25">B$7*(B$22-(B$17-B$21)-B$18-B$19)</f>
        <v>56.87499999999999</v>
      </c>
      <c r="C25" s="9">
        <f t="shared" si="7"/>
        <v>58.40625000000001</v>
      </c>
      <c r="D25" s="9">
        <f t="shared" si="7"/>
        <v>63.2296875</v>
      </c>
      <c r="E25" s="9">
        <f t="shared" si="7"/>
        <v>70.33851562499997</v>
      </c>
      <c r="F25" s="9">
        <f t="shared" si="7"/>
        <v>69.98307421875</v>
      </c>
      <c r="G25" s="9">
        <f t="shared" si="7"/>
        <v>78.51294830078665</v>
      </c>
      <c r="H25" s="9">
        <f t="shared" si="7"/>
        <v>84.1414130994779</v>
      </c>
      <c r="I25" s="9">
        <f t="shared" si="7"/>
        <v>91.53367157454902</v>
      </c>
      <c r="J25" s="9">
        <f t="shared" si="7"/>
        <v>99.09842895467166</v>
      </c>
      <c r="K25" s="9">
        <f t="shared" si="7"/>
        <v>107.45184508512155</v>
      </c>
      <c r="L25" s="68">
        <f>SUM(B25:K25)</f>
        <v>779.5708343583568</v>
      </c>
    </row>
    <row r="26" spans="1:12" ht="12.75">
      <c r="A26" s="11" t="s">
        <v>22</v>
      </c>
      <c r="B26" s="12">
        <f aca="true" t="shared" si="8" ref="B26:K26">B$8*(B$18+B$19)</f>
        <v>0</v>
      </c>
      <c r="C26" s="12">
        <f t="shared" si="8"/>
        <v>0</v>
      </c>
      <c r="D26" s="12">
        <f t="shared" si="8"/>
        <v>0</v>
      </c>
      <c r="E26" s="12">
        <f t="shared" si="8"/>
        <v>0</v>
      </c>
      <c r="F26" s="12">
        <f t="shared" si="8"/>
        <v>0</v>
      </c>
      <c r="G26" s="12">
        <f t="shared" si="8"/>
        <v>0</v>
      </c>
      <c r="H26" s="12">
        <f t="shared" si="8"/>
        <v>0</v>
      </c>
      <c r="I26" s="12">
        <f t="shared" si="8"/>
        <v>0</v>
      </c>
      <c r="J26" s="12">
        <f t="shared" si="8"/>
        <v>0</v>
      </c>
      <c r="K26" s="12">
        <f t="shared" si="8"/>
        <v>0</v>
      </c>
      <c r="L26" s="68">
        <f>SUM(B26:K26)</f>
        <v>0</v>
      </c>
    </row>
    <row r="27" spans="1:12" ht="12.75">
      <c r="A27" s="8" t="s">
        <v>23</v>
      </c>
      <c r="B27" s="71"/>
      <c r="C27" s="9">
        <f aca="true" t="shared" si="9" ref="C27:K27">(1-C11)*(C22+C24+C25+C26)*(1-C$9)*12/C$13</f>
        <v>128.91766810344828</v>
      </c>
      <c r="D27" s="9">
        <f t="shared" si="9"/>
        <v>143.1564614224138</v>
      </c>
      <c r="E27" s="9">
        <f t="shared" si="9"/>
        <v>143.52079761853446</v>
      </c>
      <c r="F27" s="9">
        <f t="shared" si="9"/>
        <v>159.7063643596041</v>
      </c>
      <c r="G27" s="9">
        <f t="shared" si="9"/>
        <v>171.66985388672728</v>
      </c>
      <c r="H27" s="9">
        <f t="shared" si="9"/>
        <v>186.56607191678913</v>
      </c>
      <c r="I27" s="9">
        <f t="shared" si="9"/>
        <v>202.04893781898474</v>
      </c>
      <c r="J27" s="9">
        <f t="shared" si="9"/>
        <v>219.05836743557012</v>
      </c>
      <c r="K27" s="9">
        <f t="shared" si="9"/>
        <v>237.41674721260344</v>
      </c>
      <c r="L27" s="47"/>
    </row>
    <row r="28" spans="1:12" ht="12.75">
      <c r="A28" s="8" t="s">
        <v>24</v>
      </c>
      <c r="B28" s="71">
        <v>150</v>
      </c>
      <c r="C28" s="9">
        <f aca="true" t="shared" si="10" ref="C28:K28">C11*(C22+C24+C25+C26)*(1-C$9)*12/C$13</f>
        <v>123.86207327586206</v>
      </c>
      <c r="D28" s="9">
        <f t="shared" si="10"/>
        <v>137.54248254310346</v>
      </c>
      <c r="E28" s="9">
        <f t="shared" si="10"/>
        <v>137.8925310452586</v>
      </c>
      <c r="F28" s="9">
        <f t="shared" si="10"/>
        <v>153.4433696788353</v>
      </c>
      <c r="G28" s="9">
        <f t="shared" si="10"/>
        <v>164.9377027539144</v>
      </c>
      <c r="H28" s="9">
        <f t="shared" si="10"/>
        <v>179.24975537103268</v>
      </c>
      <c r="I28" s="9">
        <f t="shared" si="10"/>
        <v>194.12545006137745</v>
      </c>
      <c r="J28" s="9">
        <f t="shared" si="10"/>
        <v>210.46784322241058</v>
      </c>
      <c r="K28" s="9">
        <f t="shared" si="10"/>
        <v>228.1062865375994</v>
      </c>
      <c r="L28" s="47"/>
    </row>
    <row r="29" spans="1:12" ht="12.75">
      <c r="A29" s="11" t="s">
        <v>25</v>
      </c>
      <c r="B29" s="72">
        <f>($B$3+B24+B25)*B11*(1-B$9)*12/B13-10</f>
        <v>104.82474137931032</v>
      </c>
      <c r="C29" s="12">
        <f aca="true" t="shared" si="11" ref="C29:K29">(1-B10)*B28</f>
        <v>147</v>
      </c>
      <c r="D29" s="12">
        <f t="shared" si="11"/>
        <v>121.38483181034482</v>
      </c>
      <c r="E29" s="12">
        <f t="shared" si="11"/>
        <v>134.79163289224138</v>
      </c>
      <c r="F29" s="12">
        <f t="shared" si="11"/>
        <v>135.13468042435343</v>
      </c>
      <c r="G29" s="12">
        <f t="shared" si="11"/>
        <v>150.3745022852586</v>
      </c>
      <c r="H29" s="12">
        <f t="shared" si="11"/>
        <v>161.63894869883612</v>
      </c>
      <c r="I29" s="12">
        <f t="shared" si="11"/>
        <v>175.664760263612</v>
      </c>
      <c r="J29" s="12">
        <f t="shared" si="11"/>
        <v>190.2429410601499</v>
      </c>
      <c r="K29" s="12">
        <f t="shared" si="11"/>
        <v>206.25848635796237</v>
      </c>
      <c r="L29" s="47"/>
    </row>
    <row r="30" spans="1:6" ht="12.75">
      <c r="A30" s="69" t="s">
        <v>49</v>
      </c>
      <c r="B30" s="70"/>
      <c r="C30" s="9"/>
      <c r="D30" s="9"/>
      <c r="E30" s="9"/>
      <c r="F30" s="9"/>
    </row>
    <row r="31" ht="12.75">
      <c r="A31" s="73"/>
    </row>
  </sheetData>
  <sheetProtection/>
  <printOptions horizontalCentered="1"/>
  <pageMargins left="0.75" right="0.75" top="1" bottom="1" header="0.5" footer="0.5"/>
  <pageSetup fitToHeight="1" fitToWidth="1" horizontalDpi="300" verticalDpi="300" orientation="portrait" scale="94" r:id="rId1"/>
  <headerFooter alignWithMargins="0">
    <oddFooter xml:space="preserve">&amp;R&amp;8Dairy Management at Virginia Tech
Template by Dr. M. L. McGilliard
[&amp;F] Rev. 4/20/07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zoomScalePageLayoutView="0" workbookViewId="0" topLeftCell="A16">
      <selection activeCell="K15" sqref="K15"/>
    </sheetView>
  </sheetViews>
  <sheetFormatPr defaultColWidth="11.00390625" defaultRowHeight="12.75"/>
  <cols>
    <col min="1" max="1" width="33.57421875" style="3" customWidth="1"/>
    <col min="2" max="11" width="6.7109375" style="3" customWidth="1"/>
    <col min="12" max="12" width="6.28125" style="3" customWidth="1"/>
    <col min="13" max="16384" width="11.00390625" style="3" customWidth="1"/>
  </cols>
  <sheetData>
    <row r="1" spans="1:8" s="2" customFormat="1" ht="27" customHeight="1">
      <c r="A1" s="78" t="s">
        <v>37</v>
      </c>
      <c r="H1" s="45" t="s">
        <v>38</v>
      </c>
    </row>
    <row r="2" spans="1:7" ht="12.75">
      <c r="A2" s="76"/>
      <c r="G2" s="48" t="s">
        <v>45</v>
      </c>
    </row>
    <row r="3" spans="1:4" ht="12.75">
      <c r="A3" s="4" t="s">
        <v>1</v>
      </c>
      <c r="B3" s="22">
        <v>250</v>
      </c>
      <c r="D3" s="46" t="s">
        <v>2</v>
      </c>
    </row>
    <row r="4" spans="1:12" ht="12.75">
      <c r="A4" s="5"/>
      <c r="B4" s="6" t="s">
        <v>26</v>
      </c>
      <c r="C4" s="6" t="s">
        <v>27</v>
      </c>
      <c r="D4" s="6" t="s">
        <v>28</v>
      </c>
      <c r="E4" s="6" t="s">
        <v>29</v>
      </c>
      <c r="F4" s="6" t="s">
        <v>30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67" t="s">
        <v>39</v>
      </c>
    </row>
    <row r="5" spans="1:12" ht="12.75">
      <c r="A5" s="36" t="s">
        <v>3</v>
      </c>
      <c r="B5" s="37"/>
      <c r="C5" s="37"/>
      <c r="D5" s="37"/>
      <c r="E5" s="37"/>
      <c r="F5" s="37"/>
      <c r="G5" s="37"/>
      <c r="H5" s="37"/>
      <c r="I5" s="37"/>
      <c r="J5" s="37"/>
      <c r="K5" s="38"/>
      <c r="L5" s="47"/>
    </row>
    <row r="6" spans="1:12" ht="12.75">
      <c r="A6" s="8" t="s">
        <v>4</v>
      </c>
      <c r="B6" s="24">
        <v>0.25</v>
      </c>
      <c r="C6" s="24">
        <v>0.25</v>
      </c>
      <c r="D6" s="24">
        <v>0.25</v>
      </c>
      <c r="E6" s="24">
        <v>0.25</v>
      </c>
      <c r="F6" s="24">
        <v>0.25</v>
      </c>
      <c r="G6" s="24">
        <v>0.25</v>
      </c>
      <c r="H6" s="24">
        <v>0.25</v>
      </c>
      <c r="I6" s="24">
        <v>0.25</v>
      </c>
      <c r="J6" s="24">
        <v>0.25</v>
      </c>
      <c r="K6" s="39">
        <v>0.25</v>
      </c>
      <c r="L6" s="47"/>
    </row>
    <row r="7" spans="1:12" ht="12.75">
      <c r="A7" s="8" t="s">
        <v>5</v>
      </c>
      <c r="B7" s="24">
        <v>0.3</v>
      </c>
      <c r="C7" s="24">
        <v>0.3</v>
      </c>
      <c r="D7" s="24">
        <v>0.3</v>
      </c>
      <c r="E7" s="24">
        <v>0.3</v>
      </c>
      <c r="F7" s="24">
        <v>0.3</v>
      </c>
      <c r="G7" s="24">
        <v>0.3</v>
      </c>
      <c r="H7" s="24">
        <v>0.3</v>
      </c>
      <c r="I7" s="24">
        <v>0.3</v>
      </c>
      <c r="J7" s="24">
        <v>0.3</v>
      </c>
      <c r="K7" s="39">
        <v>0.3</v>
      </c>
      <c r="L7" s="47"/>
    </row>
    <row r="8" spans="1:12" ht="12.75">
      <c r="A8" s="8" t="s">
        <v>6</v>
      </c>
      <c r="B8" s="24">
        <v>0.4</v>
      </c>
      <c r="C8" s="24">
        <v>0.4</v>
      </c>
      <c r="D8" s="24">
        <v>0.4</v>
      </c>
      <c r="E8" s="24">
        <v>0.4</v>
      </c>
      <c r="F8" s="24">
        <v>0.4</v>
      </c>
      <c r="G8" s="24">
        <v>0.4</v>
      </c>
      <c r="H8" s="24">
        <v>0.4</v>
      </c>
      <c r="I8" s="24">
        <v>0.4</v>
      </c>
      <c r="J8" s="24">
        <v>0.4</v>
      </c>
      <c r="K8" s="39">
        <v>0.4</v>
      </c>
      <c r="L8" s="47"/>
    </row>
    <row r="9" spans="1:12" ht="12.75">
      <c r="A9" s="8" t="s">
        <v>8</v>
      </c>
      <c r="B9" s="24">
        <v>0.15</v>
      </c>
      <c r="C9" s="24">
        <v>0.15</v>
      </c>
      <c r="D9" s="24">
        <v>0.15</v>
      </c>
      <c r="E9" s="24">
        <v>0.15</v>
      </c>
      <c r="F9" s="24">
        <v>0.15</v>
      </c>
      <c r="G9" s="24">
        <v>0.15</v>
      </c>
      <c r="H9" s="24">
        <v>0.15</v>
      </c>
      <c r="I9" s="24">
        <v>0.15</v>
      </c>
      <c r="J9" s="24">
        <v>0.15</v>
      </c>
      <c r="K9" s="39">
        <v>0.15</v>
      </c>
      <c r="L9" s="47"/>
    </row>
    <row r="10" spans="1:12" ht="12.75">
      <c r="A10" s="8" t="s">
        <v>7</v>
      </c>
      <c r="B10" s="24">
        <v>0.02</v>
      </c>
      <c r="C10" s="24">
        <v>0.02</v>
      </c>
      <c r="D10" s="24">
        <v>0.02</v>
      </c>
      <c r="E10" s="24">
        <v>0.02</v>
      </c>
      <c r="F10" s="24">
        <v>0.02</v>
      </c>
      <c r="G10" s="24">
        <v>0.02</v>
      </c>
      <c r="H10" s="24">
        <v>0.02</v>
      </c>
      <c r="I10" s="24">
        <v>0.02</v>
      </c>
      <c r="J10" s="24">
        <v>0.02</v>
      </c>
      <c r="K10" s="39">
        <v>0.02</v>
      </c>
      <c r="L10" s="47"/>
    </row>
    <row r="11" spans="1:12" ht="12.75">
      <c r="A11" s="8" t="s">
        <v>9</v>
      </c>
      <c r="B11" s="24">
        <v>0.49</v>
      </c>
      <c r="C11" s="24">
        <v>0.49</v>
      </c>
      <c r="D11" s="24">
        <v>0.49</v>
      </c>
      <c r="E11" s="24">
        <v>0.49</v>
      </c>
      <c r="F11" s="24">
        <v>0.49</v>
      </c>
      <c r="G11" s="24">
        <v>0.49</v>
      </c>
      <c r="H11" s="24">
        <v>0.49</v>
      </c>
      <c r="I11" s="24">
        <v>0.49</v>
      </c>
      <c r="J11" s="24">
        <v>0.49</v>
      </c>
      <c r="K11" s="39">
        <v>0.49</v>
      </c>
      <c r="L11" s="47"/>
    </row>
    <row r="12" spans="1:12" ht="12.75">
      <c r="A12" s="8" t="s">
        <v>10</v>
      </c>
      <c r="B12" s="32">
        <v>500</v>
      </c>
      <c r="C12" s="33">
        <v>550</v>
      </c>
      <c r="D12" s="33">
        <v>600</v>
      </c>
      <c r="E12" s="33">
        <v>650</v>
      </c>
      <c r="F12" s="33">
        <v>700</v>
      </c>
      <c r="G12" s="33">
        <v>750</v>
      </c>
      <c r="H12" s="33">
        <v>800</v>
      </c>
      <c r="I12" s="33">
        <v>850</v>
      </c>
      <c r="J12" s="33">
        <v>900</v>
      </c>
      <c r="K12" s="34">
        <v>950</v>
      </c>
      <c r="L12" s="47"/>
    </row>
    <row r="13" spans="1:12" ht="12.75">
      <c r="A13" s="11" t="s">
        <v>11</v>
      </c>
      <c r="B13" s="40">
        <v>13.5</v>
      </c>
      <c r="C13" s="40">
        <v>13.5</v>
      </c>
      <c r="D13" s="40">
        <v>13.5</v>
      </c>
      <c r="E13" s="40">
        <v>13.5</v>
      </c>
      <c r="F13" s="40">
        <v>13.5</v>
      </c>
      <c r="G13" s="40">
        <v>13.5</v>
      </c>
      <c r="H13" s="40">
        <v>13.5</v>
      </c>
      <c r="I13" s="40">
        <v>13.5</v>
      </c>
      <c r="J13" s="40">
        <v>13.5</v>
      </c>
      <c r="K13" s="41">
        <v>13.5</v>
      </c>
      <c r="L13" s="47"/>
    </row>
    <row r="14" ht="12.75">
      <c r="L14" s="47"/>
    </row>
    <row r="15" spans="1:12" ht="12.75">
      <c r="A15" s="5"/>
      <c r="B15" s="6" t="s">
        <v>26</v>
      </c>
      <c r="C15" s="6" t="s">
        <v>27</v>
      </c>
      <c r="D15" s="6" t="s">
        <v>28</v>
      </c>
      <c r="E15" s="6" t="s">
        <v>29</v>
      </c>
      <c r="F15" s="6" t="s">
        <v>30</v>
      </c>
      <c r="G15" s="6" t="s">
        <v>31</v>
      </c>
      <c r="H15" s="6" t="s">
        <v>32</v>
      </c>
      <c r="I15" s="6" t="s">
        <v>33</v>
      </c>
      <c r="J15" s="6" t="s">
        <v>34</v>
      </c>
      <c r="K15" s="6" t="s">
        <v>35</v>
      </c>
      <c r="L15" s="47"/>
    </row>
    <row r="16" spans="1:12" ht="12.75">
      <c r="A16" s="8" t="s">
        <v>12</v>
      </c>
      <c r="B16" s="9">
        <f>$B$3*(1-B7)</f>
        <v>175</v>
      </c>
      <c r="C16" s="9">
        <f aca="true" t="shared" si="0" ref="C16:K16">B$22-B$24-B$25-B$26</f>
        <v>328.33333333333337</v>
      </c>
      <c r="D16" s="9">
        <f t="shared" si="0"/>
        <v>341.98351851851857</v>
      </c>
      <c r="E16" s="9">
        <f t="shared" si="0"/>
        <v>419.13443703703706</v>
      </c>
      <c r="F16" s="9">
        <f t="shared" si="0"/>
        <v>464.322180244856</v>
      </c>
      <c r="G16" s="9">
        <f t="shared" si="0"/>
        <v>501.7838909877572</v>
      </c>
      <c r="H16" s="9">
        <f t="shared" si="0"/>
        <v>537.4108054506122</v>
      </c>
      <c r="I16" s="9">
        <f t="shared" si="0"/>
        <v>573.1294597274695</v>
      </c>
      <c r="J16" s="9">
        <f t="shared" si="0"/>
        <v>608.8435270136265</v>
      </c>
      <c r="K16" s="9">
        <f t="shared" si="0"/>
        <v>644.5578236493187</v>
      </c>
      <c r="L16" s="47"/>
    </row>
    <row r="17" spans="1:12" ht="12.75">
      <c r="A17" s="8" t="s">
        <v>13</v>
      </c>
      <c r="B17" s="9">
        <f>$B$3*0.5*(1-$B$9)*12/B13</f>
        <v>94.44444444444444</v>
      </c>
      <c r="C17" s="9">
        <f>B29</f>
        <v>120.73358024691358</v>
      </c>
      <c r="D17" s="9">
        <f>C29</f>
        <v>239.66129876543206</v>
      </c>
      <c r="E17" s="9">
        <f>D29</f>
        <v>227.9040990919067</v>
      </c>
      <c r="F17" s="9">
        <f aca="true" t="shared" si="1" ref="F17:K17">E$29</f>
        <v>269.9927350899314</v>
      </c>
      <c r="G17" s="9">
        <f t="shared" si="1"/>
        <v>301.0498260204081</v>
      </c>
      <c r="H17" s="9">
        <f t="shared" si="1"/>
        <v>325.88877263602416</v>
      </c>
      <c r="I17" s="9">
        <f t="shared" si="1"/>
        <v>349.24447247930993</v>
      </c>
      <c r="J17" s="9">
        <f t="shared" si="1"/>
        <v>372.56688748714555</v>
      </c>
      <c r="K17" s="9">
        <f t="shared" si="1"/>
        <v>395.8909667367538</v>
      </c>
      <c r="L17" s="47"/>
    </row>
    <row r="18" spans="1:12" ht="12.75">
      <c r="A18" s="8" t="s">
        <v>14</v>
      </c>
      <c r="B18" s="25">
        <v>225</v>
      </c>
      <c r="C18" s="26">
        <v>36</v>
      </c>
      <c r="D18" s="26"/>
      <c r="E18" s="26"/>
      <c r="F18" s="26"/>
      <c r="G18" s="26"/>
      <c r="H18" s="26"/>
      <c r="I18" s="26"/>
      <c r="J18" s="26"/>
      <c r="K18" s="26"/>
      <c r="L18" s="68">
        <f>SUM(B18:K18)</f>
        <v>261</v>
      </c>
    </row>
    <row r="19" spans="1:12" ht="12.75">
      <c r="A19" s="11" t="s">
        <v>15</v>
      </c>
      <c r="B19" s="27"/>
      <c r="C19" s="21"/>
      <c r="D19" s="21"/>
      <c r="E19" s="21"/>
      <c r="F19" s="21"/>
      <c r="G19" s="21"/>
      <c r="H19" s="21"/>
      <c r="I19" s="21"/>
      <c r="J19" s="21"/>
      <c r="K19" s="21"/>
      <c r="L19" s="68">
        <f>SUM(B19:K19)</f>
        <v>0</v>
      </c>
    </row>
    <row r="20" spans="1:12" ht="12.75">
      <c r="A20" s="8" t="s">
        <v>16</v>
      </c>
      <c r="B20" s="9">
        <f>SUM(B16:B19)</f>
        <v>494.44444444444446</v>
      </c>
      <c r="C20" s="9">
        <f>SUM(C16:C19)</f>
        <v>485.06691358024693</v>
      </c>
      <c r="D20" s="9">
        <f>SUM(D16:D19)</f>
        <v>581.6448172839506</v>
      </c>
      <c r="E20" s="9">
        <f>SUM(E16:E19)</f>
        <v>647.0385361289437</v>
      </c>
      <c r="F20" s="9">
        <f aca="true" t="shared" si="2" ref="F20:K20">SUM(F$16:F$19)</f>
        <v>734.3149153347874</v>
      </c>
      <c r="G20" s="9">
        <f t="shared" si="2"/>
        <v>802.8337170081653</v>
      </c>
      <c r="H20" s="9">
        <f t="shared" si="2"/>
        <v>863.2995780866363</v>
      </c>
      <c r="I20" s="9">
        <f t="shared" si="2"/>
        <v>922.3739322067794</v>
      </c>
      <c r="J20" s="9">
        <f t="shared" si="2"/>
        <v>981.410414500772</v>
      </c>
      <c r="K20" s="9">
        <f t="shared" si="2"/>
        <v>1040.4487903860725</v>
      </c>
      <c r="L20" s="47"/>
    </row>
    <row r="21" spans="1:12" ht="12.75">
      <c r="A21" s="8" t="s">
        <v>17</v>
      </c>
      <c r="B21" s="9">
        <f aca="true" t="shared" si="3" ref="B21:K21">IF(B20-B$12&gt;0,B20-B$12,0)</f>
        <v>0</v>
      </c>
      <c r="C21" s="9">
        <f t="shared" si="3"/>
        <v>0</v>
      </c>
      <c r="D21" s="9">
        <f t="shared" si="3"/>
        <v>0</v>
      </c>
      <c r="E21" s="9">
        <f t="shared" si="3"/>
        <v>0</v>
      </c>
      <c r="F21" s="9">
        <f t="shared" si="3"/>
        <v>34.31491533478743</v>
      </c>
      <c r="G21" s="9">
        <f t="shared" si="3"/>
        <v>52.83371700816531</v>
      </c>
      <c r="H21" s="9">
        <f t="shared" si="3"/>
        <v>63.2995780866363</v>
      </c>
      <c r="I21" s="9">
        <f t="shared" si="3"/>
        <v>72.37393220677939</v>
      </c>
      <c r="J21" s="9">
        <f t="shared" si="3"/>
        <v>81.41041450077205</v>
      </c>
      <c r="K21" s="9">
        <f t="shared" si="3"/>
        <v>90.44879038607246</v>
      </c>
      <c r="L21" s="68">
        <f>SUM(B21:K21)</f>
        <v>394.68134752321293</v>
      </c>
    </row>
    <row r="22" spans="1:12" ht="12.75">
      <c r="A22" s="11" t="s">
        <v>18</v>
      </c>
      <c r="B22" s="30">
        <f>B20-B21</f>
        <v>494.44444444444446</v>
      </c>
      <c r="C22" s="30">
        <f>C20-C21</f>
        <v>485.06691358024693</v>
      </c>
      <c r="D22" s="30">
        <f>D20-D21</f>
        <v>581.6448172839506</v>
      </c>
      <c r="E22" s="30">
        <f>E20-E21</f>
        <v>647.0385361289437</v>
      </c>
      <c r="F22" s="30">
        <f aca="true" t="shared" si="4" ref="F22:K22">F$20-F$21</f>
        <v>700</v>
      </c>
      <c r="G22" s="30">
        <f t="shared" si="4"/>
        <v>750</v>
      </c>
      <c r="H22" s="30">
        <f t="shared" si="4"/>
        <v>800</v>
      </c>
      <c r="I22" s="30">
        <f t="shared" si="4"/>
        <v>850</v>
      </c>
      <c r="J22" s="30">
        <f t="shared" si="4"/>
        <v>900</v>
      </c>
      <c r="K22" s="30">
        <f t="shared" si="4"/>
        <v>950</v>
      </c>
      <c r="L22" s="47"/>
    </row>
    <row r="23" spans="1:12" ht="12.75">
      <c r="A23" s="8" t="s">
        <v>19</v>
      </c>
      <c r="B23" s="16"/>
      <c r="C23" s="9"/>
      <c r="D23" s="9"/>
      <c r="E23" s="9"/>
      <c r="F23" s="9"/>
      <c r="G23" s="9"/>
      <c r="H23" s="9"/>
      <c r="I23" s="9"/>
      <c r="J23" s="9"/>
      <c r="K23" s="9"/>
      <c r="L23" s="47"/>
    </row>
    <row r="24" spans="1:12" ht="12.75">
      <c r="A24" s="8" t="s">
        <v>20</v>
      </c>
      <c r="B24" s="9">
        <f>B$6*(B$22-B$16-B$18-B$19)</f>
        <v>23.611111111111114</v>
      </c>
      <c r="C24" s="9">
        <f aca="true" t="shared" si="5" ref="C24:K24">C$6*(C$22-C$16-C$18-C$19)</f>
        <v>30.18339506172839</v>
      </c>
      <c r="D24" s="9">
        <f t="shared" si="5"/>
        <v>59.91532469135801</v>
      </c>
      <c r="E24" s="9">
        <f t="shared" si="5"/>
        <v>56.97602477297667</v>
      </c>
      <c r="F24" s="9">
        <f t="shared" si="5"/>
        <v>58.919454938786004</v>
      </c>
      <c r="G24" s="9">
        <f t="shared" si="5"/>
        <v>62.054027253060696</v>
      </c>
      <c r="H24" s="9">
        <f t="shared" si="5"/>
        <v>65.64729863734695</v>
      </c>
      <c r="I24" s="9">
        <f t="shared" si="5"/>
        <v>69.21763506813264</v>
      </c>
      <c r="J24" s="9">
        <f t="shared" si="5"/>
        <v>72.78911824659338</v>
      </c>
      <c r="K24" s="9">
        <f t="shared" si="5"/>
        <v>76.36054408767032</v>
      </c>
      <c r="L24" s="68">
        <f>SUM(B24:K24)</f>
        <v>575.6739338687642</v>
      </c>
    </row>
    <row r="25" spans="1:12" ht="12.75">
      <c r="A25" s="8" t="s">
        <v>21</v>
      </c>
      <c r="B25" s="9">
        <f>B$7*(B$22-(B$17-B$21)-B$18-B$19)</f>
        <v>52.5</v>
      </c>
      <c r="C25" s="9">
        <f aca="true" t="shared" si="6" ref="C25:K25">C$7*(C$22-(C$17-C$21)-C$18-C$19)</f>
        <v>98.50000000000001</v>
      </c>
      <c r="D25" s="9">
        <f t="shared" si="6"/>
        <v>102.59505555555555</v>
      </c>
      <c r="E25" s="9">
        <f t="shared" si="6"/>
        <v>125.74033111111112</v>
      </c>
      <c r="F25" s="9">
        <f t="shared" si="6"/>
        <v>139.2966540734568</v>
      </c>
      <c r="G25" s="9">
        <f t="shared" si="6"/>
        <v>150.53516729632716</v>
      </c>
      <c r="H25" s="9">
        <f t="shared" si="6"/>
        <v>161.22324163518363</v>
      </c>
      <c r="I25" s="9">
        <f t="shared" si="6"/>
        <v>171.93883791824084</v>
      </c>
      <c r="J25" s="9">
        <f t="shared" si="6"/>
        <v>182.65305810408793</v>
      </c>
      <c r="K25" s="9">
        <f t="shared" si="6"/>
        <v>193.36734709479558</v>
      </c>
      <c r="L25" s="68">
        <f>SUM(B25:K25)</f>
        <v>1378.3496927887586</v>
      </c>
    </row>
    <row r="26" spans="1:12" ht="12.75">
      <c r="A26" s="11" t="s">
        <v>22</v>
      </c>
      <c r="B26" s="12">
        <f>B$8*(B$18+B$19)</f>
        <v>90</v>
      </c>
      <c r="C26" s="12">
        <f aca="true" t="shared" si="7" ref="C26:K26">C$8*(C$18+C$19)</f>
        <v>14.4</v>
      </c>
      <c r="D26" s="12">
        <f t="shared" si="7"/>
        <v>0</v>
      </c>
      <c r="E26" s="12">
        <f t="shared" si="7"/>
        <v>0</v>
      </c>
      <c r="F26" s="12">
        <f t="shared" si="7"/>
        <v>0</v>
      </c>
      <c r="G26" s="12">
        <f t="shared" si="7"/>
        <v>0</v>
      </c>
      <c r="H26" s="12">
        <f t="shared" si="7"/>
        <v>0</v>
      </c>
      <c r="I26" s="12">
        <f t="shared" si="7"/>
        <v>0</v>
      </c>
      <c r="J26" s="12">
        <f t="shared" si="7"/>
        <v>0</v>
      </c>
      <c r="K26" s="12">
        <f t="shared" si="7"/>
        <v>0</v>
      </c>
      <c r="L26" s="68">
        <f>SUM(B26:K26)</f>
        <v>104.4</v>
      </c>
    </row>
    <row r="27" spans="1:12" ht="12.75">
      <c r="A27" s="8" t="s">
        <v>23</v>
      </c>
      <c r="B27" s="9">
        <f>(1-B$11)*(B22+B24+B25+B26)*(1-B$9)*12/B$13</f>
        <v>254.53407407407406</v>
      </c>
      <c r="C27" s="9">
        <f>(1-C11)*(C22+C24+C25+C26)*(1-C$9)*12/C$13</f>
        <v>242.0472522633745</v>
      </c>
      <c r="D27" s="9">
        <f aca="true" t="shared" si="8" ref="D27:K27">(1-D11)*(D22+D24+D25+D26)*(1-D$9)*12/D$13</f>
        <v>286.747802781893</v>
      </c>
      <c r="E27" s="9">
        <f t="shared" si="8"/>
        <v>319.7322183890215</v>
      </c>
      <c r="F27" s="9">
        <f t="shared" si="8"/>
        <v>346.1126073393842</v>
      </c>
      <c r="G27" s="9">
        <f t="shared" si="8"/>
        <v>370.9177029663641</v>
      </c>
      <c r="H27" s="9">
        <f t="shared" si="8"/>
        <v>395.6874481850151</v>
      </c>
      <c r="I27" s="9">
        <f t="shared" si="8"/>
        <v>420.45896092408253</v>
      </c>
      <c r="J27" s="9">
        <f t="shared" si="8"/>
        <v>445.23038528712925</v>
      </c>
      <c r="K27" s="9">
        <f t="shared" si="8"/>
        <v>470.00181406897684</v>
      </c>
      <c r="L27" s="47"/>
    </row>
    <row r="28" spans="1:12" ht="12.75">
      <c r="A28" s="8" t="s">
        <v>24</v>
      </c>
      <c r="B28" s="9">
        <f>B11*(B22+B24+B25+B26)*(1-B$9)*12/B$13</f>
        <v>244.55234567901232</v>
      </c>
      <c r="C28" s="9">
        <f>C11*(C22+C24+C25+C26)*(1-C$9)*12/C$13</f>
        <v>232.55520315500684</v>
      </c>
      <c r="D28" s="9">
        <f aca="true" t="shared" si="9" ref="D28:K28">D11*(D22+D24+D25+D26)*(1-D$9)*12/D$13</f>
        <v>275.50279090809323</v>
      </c>
      <c r="E28" s="9">
        <f t="shared" si="9"/>
        <v>307.19370002082456</v>
      </c>
      <c r="F28" s="9">
        <f t="shared" si="9"/>
        <v>332.53956391431035</v>
      </c>
      <c r="G28" s="9">
        <f t="shared" si="9"/>
        <v>356.3719106931734</v>
      </c>
      <c r="H28" s="9">
        <f t="shared" si="9"/>
        <v>380.1702933542302</v>
      </c>
      <c r="I28" s="9">
        <f t="shared" si="9"/>
        <v>403.97037422117734</v>
      </c>
      <c r="J28" s="9">
        <f t="shared" si="9"/>
        <v>427.77037017783</v>
      </c>
      <c r="K28" s="9">
        <f t="shared" si="9"/>
        <v>451.5703703799973</v>
      </c>
      <c r="L28" s="47"/>
    </row>
    <row r="29" spans="1:12" ht="12.75">
      <c r="A29" s="11" t="s">
        <v>25</v>
      </c>
      <c r="B29" s="12">
        <f>($B$3+B24+B25)*B11*(1-B$9)*12/B13</f>
        <v>120.73358024691358</v>
      </c>
      <c r="C29" s="12">
        <f>(1-B10)*B28</f>
        <v>239.66129876543206</v>
      </c>
      <c r="D29" s="12">
        <f aca="true" t="shared" si="10" ref="D29:K29">(1-C10)*C28</f>
        <v>227.9040990919067</v>
      </c>
      <c r="E29" s="12">
        <f t="shared" si="10"/>
        <v>269.9927350899314</v>
      </c>
      <c r="F29" s="12">
        <f t="shared" si="10"/>
        <v>301.0498260204081</v>
      </c>
      <c r="G29" s="12">
        <f t="shared" si="10"/>
        <v>325.88877263602416</v>
      </c>
      <c r="H29" s="12">
        <f t="shared" si="10"/>
        <v>349.24447247930993</v>
      </c>
      <c r="I29" s="12">
        <f t="shared" si="10"/>
        <v>372.56688748714555</v>
      </c>
      <c r="J29" s="12">
        <f t="shared" si="10"/>
        <v>395.8909667367538</v>
      </c>
      <c r="K29" s="12">
        <f t="shared" si="10"/>
        <v>419.2149627742734</v>
      </c>
      <c r="L29" s="47"/>
    </row>
    <row r="30" spans="1:6" ht="12.75">
      <c r="A30" s="14"/>
      <c r="B30" s="9"/>
      <c r="C30" s="9"/>
      <c r="D30" s="9"/>
      <c r="E30" s="9"/>
      <c r="F30" s="9"/>
    </row>
    <row r="32" s="15" customFormat="1" ht="15.75">
      <c r="A32" s="74" t="s">
        <v>48</v>
      </c>
    </row>
    <row r="34" spans="1:11" ht="12.75">
      <c r="A34" s="4" t="s">
        <v>1</v>
      </c>
      <c r="B34" s="23">
        <v>250</v>
      </c>
      <c r="C34" s="16"/>
      <c r="D34" s="16"/>
      <c r="E34" s="16"/>
      <c r="F34" s="16"/>
      <c r="G34" s="16"/>
      <c r="H34" s="16"/>
      <c r="I34" s="16"/>
      <c r="J34" s="16"/>
      <c r="K34" s="16"/>
    </row>
    <row r="35" spans="1:12" ht="12.75">
      <c r="A35" s="5"/>
      <c r="B35" s="6" t="s">
        <v>26</v>
      </c>
      <c r="C35" s="6" t="s">
        <v>27</v>
      </c>
      <c r="D35" s="6" t="s">
        <v>28</v>
      </c>
      <c r="E35" s="6" t="s">
        <v>29</v>
      </c>
      <c r="F35" s="6" t="s">
        <v>30</v>
      </c>
      <c r="G35" s="6" t="s">
        <v>31</v>
      </c>
      <c r="H35" s="6" t="s">
        <v>32</v>
      </c>
      <c r="I35" s="6" t="s">
        <v>33</v>
      </c>
      <c r="J35" s="6" t="s">
        <v>34</v>
      </c>
      <c r="K35" s="6" t="s">
        <v>35</v>
      </c>
      <c r="L35" s="67" t="s">
        <v>39</v>
      </c>
    </row>
    <row r="36" spans="1:12" ht="12.75">
      <c r="A36" s="36" t="s">
        <v>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47"/>
    </row>
    <row r="37" spans="1:12" ht="12.75">
      <c r="A37" s="8" t="s">
        <v>4</v>
      </c>
      <c r="B37" s="24">
        <v>0.25</v>
      </c>
      <c r="C37" s="24">
        <v>0.25</v>
      </c>
      <c r="D37" s="24">
        <v>0.25</v>
      </c>
      <c r="E37" s="24">
        <v>0.25</v>
      </c>
      <c r="F37" s="24">
        <v>0.25</v>
      </c>
      <c r="G37" s="24">
        <v>0.25</v>
      </c>
      <c r="H37" s="24">
        <v>0.25</v>
      </c>
      <c r="I37" s="24">
        <v>0.25</v>
      </c>
      <c r="J37" s="24">
        <v>0.25</v>
      </c>
      <c r="K37" s="24">
        <v>0.25</v>
      </c>
      <c r="L37" s="47"/>
    </row>
    <row r="38" spans="1:12" ht="12.75">
      <c r="A38" s="8" t="s">
        <v>5</v>
      </c>
      <c r="B38" s="24">
        <v>0.3</v>
      </c>
      <c r="C38" s="24">
        <v>0.3</v>
      </c>
      <c r="D38" s="24">
        <v>0.3</v>
      </c>
      <c r="E38" s="24">
        <v>0.3</v>
      </c>
      <c r="F38" s="24">
        <v>0.3</v>
      </c>
      <c r="G38" s="24">
        <v>0.3</v>
      </c>
      <c r="H38" s="24">
        <v>0.3</v>
      </c>
      <c r="I38" s="24">
        <v>0.3</v>
      </c>
      <c r="J38" s="24">
        <v>0.3</v>
      </c>
      <c r="K38" s="24">
        <v>0.3</v>
      </c>
      <c r="L38" s="47"/>
    </row>
    <row r="39" spans="1:12" ht="12.75">
      <c r="A39" s="8" t="s">
        <v>6</v>
      </c>
      <c r="B39" s="24">
        <v>0.4</v>
      </c>
      <c r="C39" s="24">
        <v>0.4</v>
      </c>
      <c r="D39" s="24">
        <v>0.4</v>
      </c>
      <c r="E39" s="24">
        <v>0.4</v>
      </c>
      <c r="F39" s="24">
        <v>0.4</v>
      </c>
      <c r="G39" s="24">
        <v>0.4</v>
      </c>
      <c r="H39" s="24">
        <v>0.4</v>
      </c>
      <c r="I39" s="24">
        <v>0.4</v>
      </c>
      <c r="J39" s="24">
        <v>0.4</v>
      </c>
      <c r="K39" s="24">
        <v>0.4</v>
      </c>
      <c r="L39" s="47"/>
    </row>
    <row r="40" spans="1:12" ht="12.75">
      <c r="A40" s="8" t="s">
        <v>8</v>
      </c>
      <c r="B40" s="24">
        <v>0.15</v>
      </c>
      <c r="C40" s="24">
        <v>0.15</v>
      </c>
      <c r="D40" s="24">
        <v>0.15</v>
      </c>
      <c r="E40" s="24">
        <v>0.15</v>
      </c>
      <c r="F40" s="24">
        <v>0.15</v>
      </c>
      <c r="G40" s="24">
        <v>0.15</v>
      </c>
      <c r="H40" s="24">
        <v>0.15</v>
      </c>
      <c r="I40" s="24">
        <v>0.15</v>
      </c>
      <c r="J40" s="24">
        <v>0.15</v>
      </c>
      <c r="K40" s="24">
        <v>0.15</v>
      </c>
      <c r="L40" s="47"/>
    </row>
    <row r="41" spans="1:12" ht="12.75">
      <c r="A41" s="8" t="s">
        <v>7</v>
      </c>
      <c r="B41" s="24">
        <v>0.02</v>
      </c>
      <c r="C41" s="24">
        <v>0.02</v>
      </c>
      <c r="D41" s="24">
        <v>0.02</v>
      </c>
      <c r="E41" s="24">
        <v>0.02</v>
      </c>
      <c r="F41" s="24">
        <v>0.02</v>
      </c>
      <c r="G41" s="24">
        <v>0.02</v>
      </c>
      <c r="H41" s="24">
        <v>0.02</v>
      </c>
      <c r="I41" s="24">
        <v>0.02</v>
      </c>
      <c r="J41" s="24">
        <v>0.02</v>
      </c>
      <c r="K41" s="24">
        <v>0.02</v>
      </c>
      <c r="L41" s="47"/>
    </row>
    <row r="42" spans="1:12" ht="12.75">
      <c r="A42" s="8" t="s">
        <v>9</v>
      </c>
      <c r="B42" s="24">
        <v>0.49</v>
      </c>
      <c r="C42" s="24">
        <v>0.49</v>
      </c>
      <c r="D42" s="24">
        <v>0.49</v>
      </c>
      <c r="E42" s="24">
        <v>0.49</v>
      </c>
      <c r="F42" s="24">
        <v>0.49</v>
      </c>
      <c r="G42" s="24">
        <v>0.49</v>
      </c>
      <c r="H42" s="24">
        <v>0.49</v>
      </c>
      <c r="I42" s="24">
        <v>0.49</v>
      </c>
      <c r="J42" s="24">
        <v>0.49</v>
      </c>
      <c r="K42" s="24">
        <v>0.49</v>
      </c>
      <c r="L42" s="47"/>
    </row>
    <row r="43" spans="1:12" ht="12.75">
      <c r="A43" s="8" t="s">
        <v>10</v>
      </c>
      <c r="B43" s="32">
        <v>250</v>
      </c>
      <c r="C43" s="33">
        <v>250</v>
      </c>
      <c r="D43" s="33">
        <v>250</v>
      </c>
      <c r="E43" s="33">
        <v>250</v>
      </c>
      <c r="F43" s="33">
        <v>250</v>
      </c>
      <c r="G43" s="33">
        <v>250</v>
      </c>
      <c r="H43" s="33">
        <v>250</v>
      </c>
      <c r="I43" s="33">
        <v>250</v>
      </c>
      <c r="J43" s="33">
        <v>250</v>
      </c>
      <c r="K43" s="33">
        <v>250</v>
      </c>
      <c r="L43" s="47"/>
    </row>
    <row r="44" spans="1:12" ht="12.75">
      <c r="A44" s="11" t="s">
        <v>11</v>
      </c>
      <c r="B44" s="22">
        <v>13.5</v>
      </c>
      <c r="C44" s="22">
        <v>13.5</v>
      </c>
      <c r="D44" s="22">
        <v>13.5</v>
      </c>
      <c r="E44" s="22">
        <v>13.5</v>
      </c>
      <c r="F44" s="22">
        <v>13.5</v>
      </c>
      <c r="G44" s="22">
        <v>13.5</v>
      </c>
      <c r="H44" s="22">
        <v>13.5</v>
      </c>
      <c r="I44" s="22">
        <v>13.5</v>
      </c>
      <c r="J44" s="22">
        <v>13.5</v>
      </c>
      <c r="K44" s="22">
        <v>13.5</v>
      </c>
      <c r="L44" s="47"/>
    </row>
    <row r="45" spans="1:12" ht="12.75">
      <c r="A45" s="20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47"/>
    </row>
    <row r="46" spans="1:12" ht="12.75">
      <c r="A46" s="20"/>
      <c r="B46" s="6" t="s">
        <v>26</v>
      </c>
      <c r="C46" s="6" t="s">
        <v>27</v>
      </c>
      <c r="D46" s="6" t="s">
        <v>28</v>
      </c>
      <c r="E46" s="6" t="s">
        <v>29</v>
      </c>
      <c r="F46" s="6" t="s">
        <v>30</v>
      </c>
      <c r="G46" s="6" t="s">
        <v>31</v>
      </c>
      <c r="H46" s="6" t="s">
        <v>32</v>
      </c>
      <c r="I46" s="6" t="s">
        <v>33</v>
      </c>
      <c r="J46" s="6" t="s">
        <v>34</v>
      </c>
      <c r="K46" s="6" t="s">
        <v>35</v>
      </c>
      <c r="L46" s="47"/>
    </row>
    <row r="47" spans="1:12" ht="12.75">
      <c r="A47" s="8" t="s">
        <v>12</v>
      </c>
      <c r="B47" s="9">
        <f>B34*(1-B38)</f>
        <v>175</v>
      </c>
      <c r="C47" s="9">
        <f aca="true" t="shared" si="11" ref="C47:K47">B$53-B$55-B$56-B$57</f>
        <v>178.75</v>
      </c>
      <c r="D47" s="9">
        <f t="shared" si="11"/>
        <v>178.5625</v>
      </c>
      <c r="E47" s="9">
        <f t="shared" si="11"/>
        <v>178.57187499999998</v>
      </c>
      <c r="F47" s="9">
        <f t="shared" si="11"/>
        <v>178.57140625</v>
      </c>
      <c r="G47" s="9">
        <f t="shared" si="11"/>
        <v>178.5714296875</v>
      </c>
      <c r="H47" s="9">
        <f t="shared" si="11"/>
        <v>178.57142851562497</v>
      </c>
      <c r="I47" s="9">
        <f t="shared" si="11"/>
        <v>178.57142857421877</v>
      </c>
      <c r="J47" s="9">
        <f t="shared" si="11"/>
        <v>178.57142857128906</v>
      </c>
      <c r="K47" s="9">
        <f t="shared" si="11"/>
        <v>178.57142857143555</v>
      </c>
      <c r="L47" s="47"/>
    </row>
    <row r="48" spans="1:12" ht="12.75">
      <c r="A48" s="8" t="s">
        <v>13</v>
      </c>
      <c r="B48" s="9">
        <f>$B$34*0.5*(1-$B$40)*12/B44</f>
        <v>94.44444444444444</v>
      </c>
      <c r="C48" s="9">
        <f>B60</f>
        <v>118.93388888888889</v>
      </c>
      <c r="D48" s="9">
        <f>C60</f>
        <v>116.5552111111111</v>
      </c>
      <c r="E48" s="9">
        <f>D60</f>
        <v>116.62323944444445</v>
      </c>
      <c r="F48" s="9">
        <f aca="true" t="shared" si="12" ref="F48:K48">E$60</f>
        <v>116.61983802777777</v>
      </c>
      <c r="G48" s="9">
        <f t="shared" si="12"/>
        <v>116.62000809861111</v>
      </c>
      <c r="H48" s="9">
        <f t="shared" si="12"/>
        <v>116.61999959506943</v>
      </c>
      <c r="I48" s="9">
        <f t="shared" si="12"/>
        <v>116.62000002024652</v>
      </c>
      <c r="J48" s="9">
        <f t="shared" si="12"/>
        <v>116.61999999898764</v>
      </c>
      <c r="K48" s="9">
        <f t="shared" si="12"/>
        <v>116.62000000005061</v>
      </c>
      <c r="L48" s="47"/>
    </row>
    <row r="49" spans="1:12" ht="12.75">
      <c r="A49" s="8" t="s">
        <v>14</v>
      </c>
      <c r="B49" s="25"/>
      <c r="C49" s="26"/>
      <c r="D49" s="26"/>
      <c r="E49" s="26"/>
      <c r="F49" s="26"/>
      <c r="G49" s="26"/>
      <c r="H49" s="26"/>
      <c r="I49" s="26"/>
      <c r="J49" s="26"/>
      <c r="K49" s="26"/>
      <c r="L49" s="68">
        <f>SUM(B49:K49)</f>
        <v>0</v>
      </c>
    </row>
    <row r="50" spans="1:12" ht="12.75">
      <c r="A50" s="11" t="s">
        <v>15</v>
      </c>
      <c r="B50" s="27"/>
      <c r="C50" s="21"/>
      <c r="D50" s="21"/>
      <c r="E50" s="21"/>
      <c r="F50" s="21"/>
      <c r="G50" s="21"/>
      <c r="H50" s="21"/>
      <c r="I50" s="21"/>
      <c r="J50" s="21"/>
      <c r="K50" s="21"/>
      <c r="L50" s="68">
        <f>SUM(B50:K50)</f>
        <v>0</v>
      </c>
    </row>
    <row r="51" spans="1:12" ht="12.75">
      <c r="A51" s="8" t="s">
        <v>16</v>
      </c>
      <c r="B51" s="9">
        <f>SUM(B47:B50)</f>
        <v>269.44444444444446</v>
      </c>
      <c r="C51" s="9">
        <f>SUM(C47:C50)</f>
        <v>297.6838888888889</v>
      </c>
      <c r="D51" s="9">
        <f>SUM(D47:D50)</f>
        <v>295.11771111111113</v>
      </c>
      <c r="E51" s="9">
        <f>SUM(E47:E50)</f>
        <v>295.1951144444444</v>
      </c>
      <c r="F51" s="17">
        <f aca="true" t="shared" si="13" ref="F51:K51">SUM(F$47:F$50)</f>
        <v>295.19124427777774</v>
      </c>
      <c r="G51" s="17">
        <f t="shared" si="13"/>
        <v>295.1914377861111</v>
      </c>
      <c r="H51" s="17">
        <f t="shared" si="13"/>
        <v>295.1914281106944</v>
      </c>
      <c r="I51" s="17">
        <f t="shared" si="13"/>
        <v>295.19142859446526</v>
      </c>
      <c r="J51" s="17">
        <f t="shared" si="13"/>
        <v>295.1914285702767</v>
      </c>
      <c r="K51" s="17">
        <f t="shared" si="13"/>
        <v>295.19142857148614</v>
      </c>
      <c r="L51" s="47"/>
    </row>
    <row r="52" spans="1:12" ht="12.75">
      <c r="A52" s="8" t="s">
        <v>17</v>
      </c>
      <c r="B52" s="9">
        <f>IF(B51-B$43&gt;0,B51-B$43,0)</f>
        <v>19.444444444444457</v>
      </c>
      <c r="C52" s="9">
        <f>IF(C51-C$43&gt;0,C51-C$43,0)</f>
        <v>47.68388888888887</v>
      </c>
      <c r="D52" s="9">
        <f>IF(D51-D$43&gt;0,D51-D$43,0)</f>
        <v>45.117711111111134</v>
      </c>
      <c r="E52" s="9">
        <f>IF(E51-E$43&gt;0,E51-E$43,0)</f>
        <v>45.195114444444414</v>
      </c>
      <c r="F52" s="9">
        <f aca="true" t="shared" si="14" ref="F52:K52">IF(F$51-F$43&gt;0,F$51-F$43,0)</f>
        <v>45.19124427777774</v>
      </c>
      <c r="G52" s="9">
        <f t="shared" si="14"/>
        <v>45.19143778611112</v>
      </c>
      <c r="H52" s="9">
        <f t="shared" si="14"/>
        <v>45.1914281106944</v>
      </c>
      <c r="I52" s="9">
        <f t="shared" si="14"/>
        <v>45.191428594465265</v>
      </c>
      <c r="J52" s="9">
        <f t="shared" si="14"/>
        <v>45.191428570276685</v>
      </c>
      <c r="K52" s="9">
        <f t="shared" si="14"/>
        <v>45.19142857148614</v>
      </c>
      <c r="L52" s="68">
        <f>SUM(B52:K52)</f>
        <v>428.58955479970024</v>
      </c>
    </row>
    <row r="53" spans="1:12" ht="12.75">
      <c r="A53" s="11" t="s">
        <v>18</v>
      </c>
      <c r="B53" s="30">
        <f>B51-B52</f>
        <v>250</v>
      </c>
      <c r="C53" s="30">
        <f>C51-C52</f>
        <v>250</v>
      </c>
      <c r="D53" s="30">
        <f>D51-D52</f>
        <v>250</v>
      </c>
      <c r="E53" s="30">
        <f>E51-E52</f>
        <v>250</v>
      </c>
      <c r="F53" s="30">
        <f aca="true" t="shared" si="15" ref="F53:K53">F$51-F$52</f>
        <v>250</v>
      </c>
      <c r="G53" s="30">
        <f t="shared" si="15"/>
        <v>250</v>
      </c>
      <c r="H53" s="30">
        <f t="shared" si="15"/>
        <v>250</v>
      </c>
      <c r="I53" s="30">
        <f t="shared" si="15"/>
        <v>250</v>
      </c>
      <c r="J53" s="30">
        <f t="shared" si="15"/>
        <v>250</v>
      </c>
      <c r="K53" s="30">
        <f t="shared" si="15"/>
        <v>250</v>
      </c>
      <c r="L53" s="47"/>
    </row>
    <row r="54" spans="1:12" ht="12.75">
      <c r="A54" s="8" t="s">
        <v>19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47"/>
    </row>
    <row r="55" spans="1:12" ht="12.75">
      <c r="A55" s="8" t="s">
        <v>20</v>
      </c>
      <c r="B55" s="9">
        <f>B$37*(B$53-B$47-B$49-B$50)</f>
        <v>18.75</v>
      </c>
      <c r="C55" s="9">
        <f aca="true" t="shared" si="16" ref="C55:K55">C$37*(C$53-C$47-C$49-C$50)</f>
        <v>17.8125</v>
      </c>
      <c r="D55" s="9">
        <f t="shared" si="16"/>
        <v>17.859375</v>
      </c>
      <c r="E55" s="9">
        <f t="shared" si="16"/>
        <v>17.857031250000006</v>
      </c>
      <c r="F55" s="9">
        <f t="shared" si="16"/>
        <v>17.8571484375</v>
      </c>
      <c r="G55" s="9">
        <f t="shared" si="16"/>
        <v>17.857142578125</v>
      </c>
      <c r="H55" s="9">
        <f t="shared" si="16"/>
        <v>17.857142871093757</v>
      </c>
      <c r="I55" s="9">
        <f t="shared" si="16"/>
        <v>17.857142856445307</v>
      </c>
      <c r="J55" s="9">
        <f t="shared" si="16"/>
        <v>17.857142857177735</v>
      </c>
      <c r="K55" s="9">
        <f t="shared" si="16"/>
        <v>17.857142857141113</v>
      </c>
      <c r="L55" s="68">
        <f>SUM(B55:K55)</f>
        <v>179.42176870748295</v>
      </c>
    </row>
    <row r="56" spans="1:12" ht="12.75">
      <c r="A56" s="8" t="s">
        <v>21</v>
      </c>
      <c r="B56" s="9">
        <f>B$38*(B$53-(B$48-B$52)-B$49-B$50)</f>
        <v>52.5</v>
      </c>
      <c r="C56" s="9">
        <f aca="true" t="shared" si="17" ref="C56:K56">C$38*(C$53-(C$48-C$52)-C$49-C$50)</f>
        <v>53.625</v>
      </c>
      <c r="D56" s="9">
        <f t="shared" si="17"/>
        <v>53.56875000000001</v>
      </c>
      <c r="E56" s="9">
        <f t="shared" si="17"/>
        <v>53.57156249999999</v>
      </c>
      <c r="F56" s="9">
        <f t="shared" si="17"/>
        <v>53.57142187499999</v>
      </c>
      <c r="G56" s="9">
        <f t="shared" si="17"/>
        <v>53.571428906250006</v>
      </c>
      <c r="H56" s="9">
        <f t="shared" si="17"/>
        <v>53.57142855468749</v>
      </c>
      <c r="I56" s="9">
        <f t="shared" si="17"/>
        <v>53.571428572265624</v>
      </c>
      <c r="J56" s="9">
        <f t="shared" si="17"/>
        <v>53.57142857138672</v>
      </c>
      <c r="K56" s="9">
        <f t="shared" si="17"/>
        <v>53.571428571430665</v>
      </c>
      <c r="L56" s="68">
        <f>SUM(B56:K56)</f>
        <v>534.6938775510205</v>
      </c>
    </row>
    <row r="57" spans="1:12" ht="12.75">
      <c r="A57" s="11" t="s">
        <v>22</v>
      </c>
      <c r="B57" s="12">
        <f>B$39*(B$49+B$50)</f>
        <v>0</v>
      </c>
      <c r="C57" s="12">
        <f aca="true" t="shared" si="18" ref="C57:K57">C$39*(C$49+C$50)</f>
        <v>0</v>
      </c>
      <c r="D57" s="12">
        <f t="shared" si="18"/>
        <v>0</v>
      </c>
      <c r="E57" s="12">
        <f t="shared" si="18"/>
        <v>0</v>
      </c>
      <c r="F57" s="12">
        <f t="shared" si="18"/>
        <v>0</v>
      </c>
      <c r="G57" s="12">
        <f t="shared" si="18"/>
        <v>0</v>
      </c>
      <c r="H57" s="12">
        <f t="shared" si="18"/>
        <v>0</v>
      </c>
      <c r="I57" s="12">
        <f t="shared" si="18"/>
        <v>0</v>
      </c>
      <c r="J57" s="12">
        <f t="shared" si="18"/>
        <v>0</v>
      </c>
      <c r="K57" s="12">
        <f t="shared" si="18"/>
        <v>0</v>
      </c>
      <c r="L57" s="68">
        <f>SUM(B57:K57)</f>
        <v>0</v>
      </c>
    </row>
    <row r="58" spans="1:12" ht="12.75">
      <c r="A58" s="8" t="s">
        <v>23</v>
      </c>
      <c r="B58" s="9">
        <f>(1-B42)*(B53+B55+B56+B57)*(1-B$40)*12/B$44</f>
        <v>123.78833333333333</v>
      </c>
      <c r="C58" s="9">
        <f>(1-C42)*(C53+C55+C56+C57)*(1-C$40)*12/C$44</f>
        <v>123.86058333333332</v>
      </c>
      <c r="D58" s="9">
        <f aca="true" t="shared" si="19" ref="D58:K58">(1-D42)*(D53+D55+D56+D57)*(1-D$40)*12/D$44</f>
        <v>123.85697083333334</v>
      </c>
      <c r="E58" s="9">
        <f t="shared" si="19"/>
        <v>123.8571514583333</v>
      </c>
      <c r="F58" s="9">
        <f t="shared" si="19"/>
        <v>123.85714242708333</v>
      </c>
      <c r="G58" s="9">
        <f t="shared" si="19"/>
        <v>123.85714287864583</v>
      </c>
      <c r="H58" s="9">
        <f t="shared" si="19"/>
        <v>123.8571428560677</v>
      </c>
      <c r="I58" s="9">
        <f t="shared" si="19"/>
        <v>123.85714285719662</v>
      </c>
      <c r="J58" s="9">
        <f t="shared" si="19"/>
        <v>123.85714285714015</v>
      </c>
      <c r="K58" s="9">
        <f t="shared" si="19"/>
        <v>123.85714285714299</v>
      </c>
      <c r="L58" s="47"/>
    </row>
    <row r="59" spans="1:12" ht="12.75">
      <c r="A59" s="8" t="s">
        <v>24</v>
      </c>
      <c r="B59" s="9">
        <f>B42*(B53+B55+B56+B57)*(1-B$40)*12/B$44</f>
        <v>118.93388888888889</v>
      </c>
      <c r="C59" s="9">
        <f>C42*(C53+C55+C56+C57)*(1-C$40)*12/C$44</f>
        <v>119.00330555555557</v>
      </c>
      <c r="D59" s="9">
        <f aca="true" t="shared" si="20" ref="D59:K59">D42*(D53+D55+D56+D57)*(1-D$40)*12/D$44</f>
        <v>118.99983472222222</v>
      </c>
      <c r="E59" s="9">
        <f t="shared" si="20"/>
        <v>119.00000826388889</v>
      </c>
      <c r="F59" s="9">
        <f t="shared" si="20"/>
        <v>118.99999958680554</v>
      </c>
      <c r="G59" s="9">
        <f t="shared" si="20"/>
        <v>119.00000002065971</v>
      </c>
      <c r="H59" s="9">
        <f t="shared" si="20"/>
        <v>118.99999999896698</v>
      </c>
      <c r="I59" s="9">
        <f t="shared" si="20"/>
        <v>119.00000000005164</v>
      </c>
      <c r="J59" s="9">
        <f t="shared" si="20"/>
        <v>118.99999999999743</v>
      </c>
      <c r="K59" s="9">
        <f t="shared" si="20"/>
        <v>119.00000000000013</v>
      </c>
      <c r="L59" s="47"/>
    </row>
    <row r="60" spans="1:12" ht="12.75">
      <c r="A60" s="11" t="s">
        <v>25</v>
      </c>
      <c r="B60" s="12">
        <f>($B$34+B55+B56+B57)*B42*(1-B$40)*12/B44</f>
        <v>118.93388888888889</v>
      </c>
      <c r="C60" s="12">
        <f>(1-B41)*B59</f>
        <v>116.5552111111111</v>
      </c>
      <c r="D60" s="12">
        <f aca="true" t="shared" si="21" ref="D60:K60">(1-C41)*C59</f>
        <v>116.62323944444445</v>
      </c>
      <c r="E60" s="12">
        <f t="shared" si="21"/>
        <v>116.61983802777777</v>
      </c>
      <c r="F60" s="12">
        <f t="shared" si="21"/>
        <v>116.62000809861111</v>
      </c>
      <c r="G60" s="12">
        <f t="shared" si="21"/>
        <v>116.61999959506943</v>
      </c>
      <c r="H60" s="12">
        <f t="shared" si="21"/>
        <v>116.62000002024652</v>
      </c>
      <c r="I60" s="12">
        <f t="shared" si="21"/>
        <v>116.61999999898764</v>
      </c>
      <c r="J60" s="12">
        <f t="shared" si="21"/>
        <v>116.62000000005061</v>
      </c>
      <c r="K60" s="12">
        <f t="shared" si="21"/>
        <v>116.61999999999748</v>
      </c>
      <c r="L60" s="47"/>
    </row>
    <row r="63" s="15" customFormat="1" ht="15.75">
      <c r="A63" s="74" t="s">
        <v>46</v>
      </c>
    </row>
    <row r="65" spans="1:12" ht="12.75">
      <c r="A65" s="5"/>
      <c r="B65" s="6" t="s">
        <v>26</v>
      </c>
      <c r="C65" s="6" t="s">
        <v>27</v>
      </c>
      <c r="D65" s="6" t="s">
        <v>28</v>
      </c>
      <c r="E65" s="6" t="s">
        <v>29</v>
      </c>
      <c r="F65" s="6" t="s">
        <v>30</v>
      </c>
      <c r="G65" s="6" t="s">
        <v>31</v>
      </c>
      <c r="H65" s="6" t="s">
        <v>32</v>
      </c>
      <c r="I65" s="6" t="s">
        <v>33</v>
      </c>
      <c r="J65" s="6" t="s">
        <v>34</v>
      </c>
      <c r="K65" s="6" t="s">
        <v>35</v>
      </c>
      <c r="L65" s="65" t="s">
        <v>39</v>
      </c>
    </row>
    <row r="66" spans="1:11" ht="12.75">
      <c r="A66" s="8" t="s">
        <v>12</v>
      </c>
      <c r="B66" s="9">
        <f aca="true" t="shared" si="22" ref="B66:K66">B16-B47</f>
        <v>0</v>
      </c>
      <c r="C66" s="9">
        <f t="shared" si="22"/>
        <v>149.58333333333337</v>
      </c>
      <c r="D66" s="9">
        <f t="shared" si="22"/>
        <v>163.42101851851857</v>
      </c>
      <c r="E66" s="9">
        <f t="shared" si="22"/>
        <v>240.56256203703708</v>
      </c>
      <c r="F66" s="17">
        <f t="shared" si="22"/>
        <v>285.750773994856</v>
      </c>
      <c r="G66" s="17">
        <f t="shared" si="22"/>
        <v>323.21246130025725</v>
      </c>
      <c r="H66" s="17">
        <f t="shared" si="22"/>
        <v>358.83937693498723</v>
      </c>
      <c r="I66" s="17">
        <f t="shared" si="22"/>
        <v>394.5580311532507</v>
      </c>
      <c r="J66" s="17">
        <f t="shared" si="22"/>
        <v>430.27209844233744</v>
      </c>
      <c r="K66" s="19">
        <f t="shared" si="22"/>
        <v>465.9863950778832</v>
      </c>
    </row>
    <row r="67" spans="1:11" ht="12.75">
      <c r="A67" s="8" t="s">
        <v>13</v>
      </c>
      <c r="B67" s="9">
        <f aca="true" t="shared" si="23" ref="B67:K67">B17-B48</f>
        <v>0</v>
      </c>
      <c r="C67" s="9">
        <f t="shared" si="23"/>
        <v>1.7996913580246883</v>
      </c>
      <c r="D67" s="9">
        <f t="shared" si="23"/>
        <v>123.10608765432096</v>
      </c>
      <c r="E67" s="9">
        <f t="shared" si="23"/>
        <v>111.28085964746224</v>
      </c>
      <c r="F67" s="9">
        <f t="shared" si="23"/>
        <v>153.3728970621536</v>
      </c>
      <c r="G67" s="9">
        <f t="shared" si="23"/>
        <v>184.429817921797</v>
      </c>
      <c r="H67" s="9">
        <f t="shared" si="23"/>
        <v>209.26877304095473</v>
      </c>
      <c r="I67" s="9">
        <f t="shared" si="23"/>
        <v>232.6244724590634</v>
      </c>
      <c r="J67" s="9">
        <f t="shared" si="23"/>
        <v>255.94688748815793</v>
      </c>
      <c r="K67" s="10">
        <f t="shared" si="23"/>
        <v>279.2709667367032</v>
      </c>
    </row>
    <row r="68" spans="1:12" ht="12.75">
      <c r="A68" s="8" t="s">
        <v>14</v>
      </c>
      <c r="B68" s="28">
        <f aca="true" t="shared" si="24" ref="B68:K68">B18-B49</f>
        <v>225</v>
      </c>
      <c r="C68" s="28">
        <f t="shared" si="24"/>
        <v>36</v>
      </c>
      <c r="D68" s="28">
        <f t="shared" si="24"/>
        <v>0</v>
      </c>
      <c r="E68" s="28">
        <f t="shared" si="24"/>
        <v>0</v>
      </c>
      <c r="F68" s="28">
        <f t="shared" si="24"/>
        <v>0</v>
      </c>
      <c r="G68" s="28">
        <f t="shared" si="24"/>
        <v>0</v>
      </c>
      <c r="H68" s="28">
        <f t="shared" si="24"/>
        <v>0</v>
      </c>
      <c r="I68" s="28">
        <f t="shared" si="24"/>
        <v>0</v>
      </c>
      <c r="J68" s="28">
        <f t="shared" si="24"/>
        <v>0</v>
      </c>
      <c r="K68" s="29">
        <f t="shared" si="24"/>
        <v>0</v>
      </c>
      <c r="L68" s="66">
        <f>SUM(B68:K68)</f>
        <v>261</v>
      </c>
    </row>
    <row r="69" spans="1:12" ht="12.75">
      <c r="A69" s="11" t="s">
        <v>15</v>
      </c>
      <c r="B69" s="30">
        <f aca="true" t="shared" si="25" ref="B69:K69">B19-B50</f>
        <v>0</v>
      </c>
      <c r="C69" s="30">
        <f t="shared" si="25"/>
        <v>0</v>
      </c>
      <c r="D69" s="30">
        <f t="shared" si="25"/>
        <v>0</v>
      </c>
      <c r="E69" s="30">
        <f t="shared" si="25"/>
        <v>0</v>
      </c>
      <c r="F69" s="28">
        <f t="shared" si="25"/>
        <v>0</v>
      </c>
      <c r="G69" s="28">
        <f t="shared" si="25"/>
        <v>0</v>
      </c>
      <c r="H69" s="28">
        <f t="shared" si="25"/>
        <v>0</v>
      </c>
      <c r="I69" s="28">
        <f t="shared" si="25"/>
        <v>0</v>
      </c>
      <c r="J69" s="28">
        <f t="shared" si="25"/>
        <v>0</v>
      </c>
      <c r="K69" s="29">
        <f t="shared" si="25"/>
        <v>0</v>
      </c>
      <c r="L69" s="66">
        <f>SUM(B69:K69)</f>
        <v>0</v>
      </c>
    </row>
    <row r="70" spans="1:11" ht="12.75">
      <c r="A70" s="8" t="s">
        <v>16</v>
      </c>
      <c r="B70" s="9">
        <f aca="true" t="shared" si="26" ref="B70:K70">B20-B51</f>
        <v>225</v>
      </c>
      <c r="C70" s="9">
        <f t="shared" si="26"/>
        <v>187.38302469135806</v>
      </c>
      <c r="D70" s="9">
        <f t="shared" si="26"/>
        <v>286.52710617283947</v>
      </c>
      <c r="E70" s="9">
        <f t="shared" si="26"/>
        <v>351.84342168449933</v>
      </c>
      <c r="F70" s="17">
        <f t="shared" si="26"/>
        <v>439.1236710570097</v>
      </c>
      <c r="G70" s="17">
        <f t="shared" si="26"/>
        <v>507.6422792220542</v>
      </c>
      <c r="H70" s="17">
        <f t="shared" si="26"/>
        <v>568.1081499759418</v>
      </c>
      <c r="I70" s="17">
        <f t="shared" si="26"/>
        <v>627.1825036123141</v>
      </c>
      <c r="J70" s="17">
        <f t="shared" si="26"/>
        <v>686.2189859304954</v>
      </c>
      <c r="K70" s="19">
        <f t="shared" si="26"/>
        <v>745.2573618145864</v>
      </c>
    </row>
    <row r="71" spans="1:12" ht="12.75">
      <c r="A71" s="8" t="s">
        <v>17</v>
      </c>
      <c r="B71" s="28">
        <f aca="true" t="shared" si="27" ref="B71:K71">B21-B52</f>
        <v>-19.444444444444457</v>
      </c>
      <c r="C71" s="28">
        <f t="shared" si="27"/>
        <v>-47.68388888888887</v>
      </c>
      <c r="D71" s="28">
        <f t="shared" si="27"/>
        <v>-45.117711111111134</v>
      </c>
      <c r="E71" s="28">
        <f t="shared" si="27"/>
        <v>-45.195114444444414</v>
      </c>
      <c r="F71" s="28">
        <f t="shared" si="27"/>
        <v>-10.876328942990312</v>
      </c>
      <c r="G71" s="28">
        <f t="shared" si="27"/>
        <v>7.642279222054185</v>
      </c>
      <c r="H71" s="28">
        <f t="shared" si="27"/>
        <v>18.1081499759419</v>
      </c>
      <c r="I71" s="28">
        <f t="shared" si="27"/>
        <v>27.18250361231412</v>
      </c>
      <c r="J71" s="28">
        <f t="shared" si="27"/>
        <v>36.218985930495364</v>
      </c>
      <c r="K71" s="29">
        <f t="shared" si="27"/>
        <v>45.25736181458632</v>
      </c>
      <c r="L71" s="66">
        <f>SUM(B71:K71)</f>
        <v>-33.9082072764873</v>
      </c>
    </row>
    <row r="72" spans="1:11" ht="12.75">
      <c r="A72" s="11" t="s">
        <v>18</v>
      </c>
      <c r="B72" s="30">
        <f aca="true" t="shared" si="28" ref="B72:K72">B22-B53</f>
        <v>244.44444444444446</v>
      </c>
      <c r="C72" s="30">
        <f t="shared" si="28"/>
        <v>235.06691358024693</v>
      </c>
      <c r="D72" s="30">
        <f t="shared" si="28"/>
        <v>331.6448172839506</v>
      </c>
      <c r="E72" s="30">
        <f t="shared" si="28"/>
        <v>397.03853612894375</v>
      </c>
      <c r="F72" s="30">
        <f t="shared" si="28"/>
        <v>450</v>
      </c>
      <c r="G72" s="30">
        <f t="shared" si="28"/>
        <v>500</v>
      </c>
      <c r="H72" s="30">
        <f t="shared" si="28"/>
        <v>550</v>
      </c>
      <c r="I72" s="30">
        <f t="shared" si="28"/>
        <v>600</v>
      </c>
      <c r="J72" s="30">
        <f t="shared" si="28"/>
        <v>650</v>
      </c>
      <c r="K72" s="31">
        <f t="shared" si="28"/>
        <v>700</v>
      </c>
    </row>
    <row r="73" spans="1:11" ht="12.75">
      <c r="A73" s="8" t="s">
        <v>19</v>
      </c>
      <c r="B73" s="16"/>
      <c r="C73" s="16"/>
      <c r="D73" s="16"/>
      <c r="E73" s="16"/>
      <c r="F73" s="16"/>
      <c r="G73" s="16"/>
      <c r="H73" s="16"/>
      <c r="I73" s="16"/>
      <c r="J73" s="16"/>
      <c r="K73" s="18"/>
    </row>
    <row r="74" spans="1:12" ht="12.75">
      <c r="A74" s="8" t="s">
        <v>20</v>
      </c>
      <c r="B74" s="9">
        <f>B24-B55</f>
        <v>4.861111111111114</v>
      </c>
      <c r="C74" s="9">
        <f aca="true" t="shared" si="29" ref="C74:K74">C24-C55</f>
        <v>12.37089506172839</v>
      </c>
      <c r="D74" s="9">
        <f t="shared" si="29"/>
        <v>42.05594969135801</v>
      </c>
      <c r="E74" s="9">
        <f t="shared" si="29"/>
        <v>39.118993522976666</v>
      </c>
      <c r="F74" s="9">
        <f t="shared" si="29"/>
        <v>41.062306501286</v>
      </c>
      <c r="G74" s="9">
        <f t="shared" si="29"/>
        <v>44.196884674935696</v>
      </c>
      <c r="H74" s="9">
        <f t="shared" si="29"/>
        <v>47.79015576625319</v>
      </c>
      <c r="I74" s="9">
        <f t="shared" si="29"/>
        <v>51.36049221168733</v>
      </c>
      <c r="J74" s="9">
        <f t="shared" si="29"/>
        <v>54.93197538941564</v>
      </c>
      <c r="K74" s="10">
        <f t="shared" si="29"/>
        <v>58.50340123052921</v>
      </c>
      <c r="L74" s="66">
        <f>SUM(B74:K74)</f>
        <v>396.2521651612812</v>
      </c>
    </row>
    <row r="75" spans="1:12" ht="12.75">
      <c r="A75" s="8" t="s">
        <v>21</v>
      </c>
      <c r="B75" s="9">
        <f>B25-B56</f>
        <v>0</v>
      </c>
      <c r="C75" s="9">
        <f aca="true" t="shared" si="30" ref="C75:K75">C25-C56</f>
        <v>44.875000000000014</v>
      </c>
      <c r="D75" s="9">
        <f t="shared" si="30"/>
        <v>49.02630555555554</v>
      </c>
      <c r="E75" s="9">
        <f t="shared" si="30"/>
        <v>72.16876861111112</v>
      </c>
      <c r="F75" s="9">
        <f t="shared" si="30"/>
        <v>85.72523219845681</v>
      </c>
      <c r="G75" s="9">
        <f t="shared" si="30"/>
        <v>96.96373839007715</v>
      </c>
      <c r="H75" s="9">
        <f t="shared" si="30"/>
        <v>107.65181308049614</v>
      </c>
      <c r="I75" s="9">
        <f t="shared" si="30"/>
        <v>118.3674093459752</v>
      </c>
      <c r="J75" s="9">
        <f t="shared" si="30"/>
        <v>129.0816295327012</v>
      </c>
      <c r="K75" s="10">
        <f t="shared" si="30"/>
        <v>139.79591852336492</v>
      </c>
      <c r="L75" s="66">
        <f>SUM(B75:K75)</f>
        <v>843.655815237738</v>
      </c>
    </row>
    <row r="76" spans="1:12" ht="12.75">
      <c r="A76" s="11" t="s">
        <v>22</v>
      </c>
      <c r="B76" s="12">
        <f>B26-B57</f>
        <v>90</v>
      </c>
      <c r="C76" s="12">
        <f aca="true" t="shared" si="31" ref="C76:K76">C26-C57</f>
        <v>14.4</v>
      </c>
      <c r="D76" s="12">
        <f t="shared" si="31"/>
        <v>0</v>
      </c>
      <c r="E76" s="12">
        <f t="shared" si="31"/>
        <v>0</v>
      </c>
      <c r="F76" s="12">
        <f t="shared" si="31"/>
        <v>0</v>
      </c>
      <c r="G76" s="12">
        <f t="shared" si="31"/>
        <v>0</v>
      </c>
      <c r="H76" s="12">
        <f t="shared" si="31"/>
        <v>0</v>
      </c>
      <c r="I76" s="12">
        <f t="shared" si="31"/>
        <v>0</v>
      </c>
      <c r="J76" s="12">
        <f t="shared" si="31"/>
        <v>0</v>
      </c>
      <c r="K76" s="13">
        <f t="shared" si="31"/>
        <v>0</v>
      </c>
      <c r="L76" s="66">
        <f>SUM(B76:K76)</f>
        <v>104.4</v>
      </c>
    </row>
    <row r="77" spans="1:11" ht="12.75">
      <c r="A77" s="8" t="s">
        <v>24</v>
      </c>
      <c r="B77" s="9">
        <f aca="true" t="shared" si="32" ref="B77:K77">B28-B59</f>
        <v>125.61845679012343</v>
      </c>
      <c r="C77" s="9">
        <f t="shared" si="32"/>
        <v>113.55189759945127</v>
      </c>
      <c r="D77" s="9">
        <f t="shared" si="32"/>
        <v>156.50295618587103</v>
      </c>
      <c r="E77" s="9">
        <f t="shared" si="32"/>
        <v>188.19369175693566</v>
      </c>
      <c r="F77" s="9">
        <f t="shared" si="32"/>
        <v>213.53956432750482</v>
      </c>
      <c r="G77" s="9">
        <f t="shared" si="32"/>
        <v>237.37191067251368</v>
      </c>
      <c r="H77" s="9">
        <f t="shared" si="32"/>
        <v>261.1702933552632</v>
      </c>
      <c r="I77" s="9">
        <f t="shared" si="32"/>
        <v>284.97037422112567</v>
      </c>
      <c r="J77" s="9">
        <f t="shared" si="32"/>
        <v>308.77037017783255</v>
      </c>
      <c r="K77" s="10">
        <f t="shared" si="32"/>
        <v>332.5703703799972</v>
      </c>
    </row>
    <row r="78" spans="1:11" ht="12.75">
      <c r="A78" s="11" t="s">
        <v>25</v>
      </c>
      <c r="B78" s="12">
        <f aca="true" t="shared" si="33" ref="B78:K78">B29-B60</f>
        <v>1.7996913580246883</v>
      </c>
      <c r="C78" s="12">
        <f t="shared" si="33"/>
        <v>123.10608765432096</v>
      </c>
      <c r="D78" s="12">
        <f t="shared" si="33"/>
        <v>111.28085964746224</v>
      </c>
      <c r="E78" s="12">
        <f t="shared" si="33"/>
        <v>153.3728970621536</v>
      </c>
      <c r="F78" s="12">
        <f t="shared" si="33"/>
        <v>184.429817921797</v>
      </c>
      <c r="G78" s="12">
        <f t="shared" si="33"/>
        <v>209.26877304095473</v>
      </c>
      <c r="H78" s="12">
        <f t="shared" si="33"/>
        <v>232.6244724590634</v>
      </c>
      <c r="I78" s="12">
        <f t="shared" si="33"/>
        <v>255.94688748815793</v>
      </c>
      <c r="J78" s="12">
        <f t="shared" si="33"/>
        <v>279.2709667367032</v>
      </c>
      <c r="K78" s="13">
        <f t="shared" si="33"/>
        <v>302.5949627742759</v>
      </c>
    </row>
  </sheetData>
  <sheetProtection/>
  <printOptions horizontalCentered="1"/>
  <pageMargins left="0.75" right="0.75" top="1" bottom="1" header="0.5" footer="0.5"/>
  <pageSetup fitToHeight="1" fitToWidth="1" horizontalDpi="300" verticalDpi="300" orientation="portrait" scale="65" r:id="rId1"/>
  <headerFooter alignWithMargins="0">
    <oddFooter xml:space="preserve">&amp;R&amp;8Dairy Management at Virginia Tech
Template by Dr. M. L. McGilliard
[&amp;F] Rev. 12/8/03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zoomScalePageLayoutView="0" workbookViewId="0" topLeftCell="A1">
      <selection activeCell="C30" sqref="C30"/>
    </sheetView>
  </sheetViews>
  <sheetFormatPr defaultColWidth="11.00390625" defaultRowHeight="12.75"/>
  <cols>
    <col min="1" max="1" width="38.7109375" style="3" customWidth="1"/>
    <col min="2" max="2" width="7.00390625" style="3" customWidth="1"/>
    <col min="3" max="7" width="6.7109375" style="3" customWidth="1"/>
    <col min="8" max="12" width="6.8515625" style="3" customWidth="1"/>
    <col min="13" max="16384" width="11.00390625" style="3" customWidth="1"/>
  </cols>
  <sheetData>
    <row r="1" spans="1:13" s="2" customFormat="1" ht="41.25" customHeight="1">
      <c r="A1" s="79" t="s">
        <v>47</v>
      </c>
      <c r="B1" s="79"/>
      <c r="C1" s="79"/>
      <c r="D1" s="79"/>
      <c r="E1" s="79"/>
      <c r="F1" s="79"/>
      <c r="G1" s="79"/>
      <c r="H1" s="80" t="s">
        <v>44</v>
      </c>
      <c r="I1" s="80"/>
      <c r="J1" s="80"/>
      <c r="K1" s="80"/>
      <c r="L1" s="80"/>
      <c r="M1" s="80"/>
    </row>
    <row r="2" spans="1:6" ht="12.75">
      <c r="A2" s="76"/>
      <c r="F2" s="57" t="s">
        <v>2</v>
      </c>
    </row>
    <row r="3" spans="1:2" ht="12.75">
      <c r="A3" s="8" t="s">
        <v>10</v>
      </c>
      <c r="B3" s="35">
        <v>1240</v>
      </c>
    </row>
    <row r="4" spans="1:13" ht="12.75">
      <c r="A4" s="5"/>
      <c r="B4" s="62" t="s">
        <v>43</v>
      </c>
      <c r="C4" s="6" t="s">
        <v>26</v>
      </c>
      <c r="D4" s="6" t="s">
        <v>27</v>
      </c>
      <c r="E4" s="6" t="s">
        <v>28</v>
      </c>
      <c r="F4" s="6" t="s">
        <v>29</v>
      </c>
      <c r="G4" s="6" t="s">
        <v>30</v>
      </c>
      <c r="H4" s="6" t="s">
        <v>31</v>
      </c>
      <c r="I4" s="6" t="s">
        <v>32</v>
      </c>
      <c r="J4" s="6" t="s">
        <v>33</v>
      </c>
      <c r="K4" s="6" t="s">
        <v>34</v>
      </c>
      <c r="L4" s="6" t="s">
        <v>35</v>
      </c>
      <c r="M4" s="47"/>
    </row>
    <row r="5" spans="1:13" ht="12.75">
      <c r="A5" s="36" t="s">
        <v>3</v>
      </c>
      <c r="B5" s="49"/>
      <c r="C5" s="37"/>
      <c r="D5" s="37"/>
      <c r="E5" s="37"/>
      <c r="F5" s="37"/>
      <c r="G5" s="37"/>
      <c r="H5" s="37"/>
      <c r="I5" s="37"/>
      <c r="J5" s="37"/>
      <c r="K5" s="37"/>
      <c r="L5" s="38"/>
      <c r="M5" s="47"/>
    </row>
    <row r="6" spans="1:13" ht="12.75">
      <c r="A6" s="8" t="s">
        <v>4</v>
      </c>
      <c r="B6" s="24"/>
      <c r="C6" s="24">
        <v>0.3</v>
      </c>
      <c r="D6" s="24">
        <v>0.3</v>
      </c>
      <c r="E6" s="24">
        <v>0.3</v>
      </c>
      <c r="F6" s="24">
        <v>0.3</v>
      </c>
      <c r="G6" s="24">
        <v>0.3</v>
      </c>
      <c r="H6" s="24">
        <v>0.3</v>
      </c>
      <c r="I6" s="24">
        <v>0.3</v>
      </c>
      <c r="J6" s="24">
        <v>0.3</v>
      </c>
      <c r="K6" s="24">
        <v>0.3</v>
      </c>
      <c r="L6" s="39">
        <v>0.3</v>
      </c>
      <c r="M6" s="47"/>
    </row>
    <row r="7" spans="1:13" ht="12.75">
      <c r="A7" s="8" t="s">
        <v>5</v>
      </c>
      <c r="B7" s="24"/>
      <c r="C7" s="24">
        <v>0.3</v>
      </c>
      <c r="D7" s="24">
        <v>0.3</v>
      </c>
      <c r="E7" s="24">
        <v>0.3</v>
      </c>
      <c r="F7" s="24">
        <v>0.3</v>
      </c>
      <c r="G7" s="24">
        <v>0.3</v>
      </c>
      <c r="H7" s="24">
        <v>0.3</v>
      </c>
      <c r="I7" s="24">
        <v>0.3</v>
      </c>
      <c r="J7" s="24">
        <v>0.3</v>
      </c>
      <c r="K7" s="24">
        <v>0.3</v>
      </c>
      <c r="L7" s="39">
        <v>0.3</v>
      </c>
      <c r="M7" s="47"/>
    </row>
    <row r="8" spans="1:13" ht="12.75">
      <c r="A8" s="8" t="s">
        <v>6</v>
      </c>
      <c r="B8" s="24"/>
      <c r="C8" s="24">
        <v>0.4</v>
      </c>
      <c r="D8" s="24">
        <v>0.4</v>
      </c>
      <c r="E8" s="24">
        <v>0.4</v>
      </c>
      <c r="F8" s="24">
        <v>0.4</v>
      </c>
      <c r="G8" s="24">
        <v>0.4</v>
      </c>
      <c r="H8" s="24">
        <v>0.4</v>
      </c>
      <c r="I8" s="24">
        <v>0.4</v>
      </c>
      <c r="J8" s="24">
        <v>0.4</v>
      </c>
      <c r="K8" s="24">
        <v>0.4</v>
      </c>
      <c r="L8" s="39">
        <v>0.4</v>
      </c>
      <c r="M8" s="47"/>
    </row>
    <row r="9" spans="1:13" ht="12.75">
      <c r="A9" s="8" t="s">
        <v>8</v>
      </c>
      <c r="B9" s="24"/>
      <c r="C9" s="24">
        <v>0.15</v>
      </c>
      <c r="D9" s="24">
        <v>0.15</v>
      </c>
      <c r="E9" s="24">
        <v>0.15</v>
      </c>
      <c r="F9" s="24">
        <v>0.15</v>
      </c>
      <c r="G9" s="24">
        <v>0.15</v>
      </c>
      <c r="H9" s="24">
        <v>0.15</v>
      </c>
      <c r="I9" s="24">
        <v>0.15</v>
      </c>
      <c r="J9" s="24">
        <v>0.15</v>
      </c>
      <c r="K9" s="24">
        <v>0.15</v>
      </c>
      <c r="L9" s="24">
        <v>0.15</v>
      </c>
      <c r="M9" s="47"/>
    </row>
    <row r="10" spans="1:13" ht="12.75">
      <c r="A10" s="8" t="s">
        <v>7</v>
      </c>
      <c r="B10" s="24"/>
      <c r="C10" s="24">
        <v>0.02</v>
      </c>
      <c r="D10" s="24">
        <v>0.02</v>
      </c>
      <c r="E10" s="24">
        <v>0.02</v>
      </c>
      <c r="F10" s="24">
        <v>0.02</v>
      </c>
      <c r="G10" s="24">
        <v>0.02</v>
      </c>
      <c r="H10" s="24">
        <v>0.02</v>
      </c>
      <c r="I10" s="24">
        <v>0.02</v>
      </c>
      <c r="J10" s="24">
        <v>0.02</v>
      </c>
      <c r="K10" s="24">
        <v>0.02</v>
      </c>
      <c r="L10" s="24">
        <v>0.02</v>
      </c>
      <c r="M10" s="47"/>
    </row>
    <row r="11" spans="1:13" ht="12.75">
      <c r="A11" s="8" t="s">
        <v>9</v>
      </c>
      <c r="B11" s="24"/>
      <c r="C11" s="24">
        <v>0.49</v>
      </c>
      <c r="D11" s="24">
        <v>0.49</v>
      </c>
      <c r="E11" s="24">
        <v>0.49</v>
      </c>
      <c r="F11" s="24">
        <v>0.49</v>
      </c>
      <c r="G11" s="24">
        <v>0.49</v>
      </c>
      <c r="H11" s="24">
        <v>0.49</v>
      </c>
      <c r="I11" s="24">
        <v>0.49</v>
      </c>
      <c r="J11" s="24">
        <v>0.49</v>
      </c>
      <c r="K11" s="24">
        <v>0.49</v>
      </c>
      <c r="L11" s="24">
        <v>0.49</v>
      </c>
      <c r="M11" s="47"/>
    </row>
    <row r="12" spans="1:13" ht="12.75">
      <c r="A12" s="8" t="s">
        <v>10</v>
      </c>
      <c r="B12" s="32">
        <f>B3</f>
        <v>1240</v>
      </c>
      <c r="C12" s="33">
        <f aca="true" t="shared" si="0" ref="C12:L12">B12</f>
        <v>1240</v>
      </c>
      <c r="D12" s="33">
        <f t="shared" si="0"/>
        <v>1240</v>
      </c>
      <c r="E12" s="33">
        <f t="shared" si="0"/>
        <v>1240</v>
      </c>
      <c r="F12" s="33">
        <f t="shared" si="0"/>
        <v>1240</v>
      </c>
      <c r="G12" s="33">
        <f t="shared" si="0"/>
        <v>1240</v>
      </c>
      <c r="H12" s="33">
        <f t="shared" si="0"/>
        <v>1240</v>
      </c>
      <c r="I12" s="33">
        <f t="shared" si="0"/>
        <v>1240</v>
      </c>
      <c r="J12" s="33">
        <f t="shared" si="0"/>
        <v>1240</v>
      </c>
      <c r="K12" s="33">
        <f t="shared" si="0"/>
        <v>1240</v>
      </c>
      <c r="L12" s="34">
        <f t="shared" si="0"/>
        <v>1240</v>
      </c>
      <c r="M12" s="47"/>
    </row>
    <row r="13" spans="1:13" ht="12.75">
      <c r="A13" s="11" t="s">
        <v>11</v>
      </c>
      <c r="B13" s="40"/>
      <c r="C13" s="40">
        <v>13.5</v>
      </c>
      <c r="D13" s="40">
        <v>13.5</v>
      </c>
      <c r="E13" s="40">
        <v>13.5</v>
      </c>
      <c r="F13" s="40">
        <v>13.5</v>
      </c>
      <c r="G13" s="40">
        <v>13.5</v>
      </c>
      <c r="H13" s="40">
        <v>13.5</v>
      </c>
      <c r="I13" s="40">
        <v>13.5</v>
      </c>
      <c r="J13" s="40">
        <v>13.5</v>
      </c>
      <c r="K13" s="40">
        <v>13.5</v>
      </c>
      <c r="L13" s="41">
        <v>13.5</v>
      </c>
      <c r="M13" s="47"/>
    </row>
    <row r="14" ht="12.75"/>
    <row r="15" spans="1:13" ht="12.75">
      <c r="A15" s="5"/>
      <c r="B15" s="50" t="s">
        <v>43</v>
      </c>
      <c r="C15" s="6" t="s">
        <v>26</v>
      </c>
      <c r="D15" s="6" t="s">
        <v>27</v>
      </c>
      <c r="E15" s="6" t="s">
        <v>28</v>
      </c>
      <c r="F15" s="6" t="s">
        <v>29</v>
      </c>
      <c r="G15" s="6" t="s">
        <v>30</v>
      </c>
      <c r="H15" s="6" t="s">
        <v>31</v>
      </c>
      <c r="I15" s="6" t="s">
        <v>32</v>
      </c>
      <c r="J15" s="6" t="s">
        <v>33</v>
      </c>
      <c r="K15" s="6" t="s">
        <v>34</v>
      </c>
      <c r="L15" s="6" t="s">
        <v>35</v>
      </c>
      <c r="M15" s="47"/>
    </row>
    <row r="16" spans="1:13" ht="12.75">
      <c r="A16" s="8" t="s">
        <v>12</v>
      </c>
      <c r="B16" s="61">
        <v>200</v>
      </c>
      <c r="C16" s="58">
        <f>B22-B26</f>
        <v>824</v>
      </c>
      <c r="D16" s="9">
        <f>C22-C8*C18-C7*C16-C6*C17</f>
        <v>845.8</v>
      </c>
      <c r="E16" s="9">
        <f aca="true" t="shared" si="1" ref="E16:L16">D$22-D$24-D$25-D$26</f>
        <v>828.5799999999999</v>
      </c>
      <c r="F16" s="9">
        <f t="shared" si="1"/>
        <v>868.0000000000001</v>
      </c>
      <c r="G16" s="9">
        <f t="shared" si="1"/>
        <v>868</v>
      </c>
      <c r="H16" s="9">
        <f t="shared" si="1"/>
        <v>868</v>
      </c>
      <c r="I16" s="9">
        <f t="shared" si="1"/>
        <v>868</v>
      </c>
      <c r="J16" s="9">
        <f t="shared" si="1"/>
        <v>868</v>
      </c>
      <c r="K16" s="9">
        <f t="shared" si="1"/>
        <v>868</v>
      </c>
      <c r="L16" s="9">
        <f t="shared" si="1"/>
        <v>868</v>
      </c>
      <c r="M16" s="47"/>
    </row>
    <row r="17" spans="1:13" ht="12.75">
      <c r="A17" s="8" t="s">
        <v>13</v>
      </c>
      <c r="B17" s="60">
        <v>0</v>
      </c>
      <c r="C17" s="58">
        <f>(1-C10)*B29</f>
        <v>490</v>
      </c>
      <c r="D17" s="9">
        <f>(1-C10)*C29</f>
        <v>0</v>
      </c>
      <c r="E17" s="9">
        <f>(1-D10)*D29</f>
        <v>449.8940444444445</v>
      </c>
      <c r="F17" s="9">
        <f aca="true" t="shared" si="2" ref="F17:L17">(1-E10)*E29</f>
        <v>599.164534577778</v>
      </c>
      <c r="G17" s="9">
        <f t="shared" si="2"/>
        <v>584.8622577777777</v>
      </c>
      <c r="H17" s="9">
        <f t="shared" si="2"/>
        <v>584.8622577777777</v>
      </c>
      <c r="I17" s="9">
        <f t="shared" si="2"/>
        <v>584.8622577777777</v>
      </c>
      <c r="J17" s="9">
        <f t="shared" si="2"/>
        <v>584.8622577777777</v>
      </c>
      <c r="K17" s="9">
        <f t="shared" si="2"/>
        <v>584.8622577777777</v>
      </c>
      <c r="L17" s="9">
        <f t="shared" si="2"/>
        <v>584.8622577777777</v>
      </c>
      <c r="M17" s="47"/>
    </row>
    <row r="18" spans="1:13" ht="12.75">
      <c r="A18" s="8" t="s">
        <v>14</v>
      </c>
      <c r="B18" s="51">
        <f>B12-B16-B17</f>
        <v>1040</v>
      </c>
      <c r="C18" s="42">
        <f aca="true" t="shared" si="3" ref="C18:L18">IF(C12-(C16+C17)&gt;0,C12-(C16+C17),0)</f>
        <v>0</v>
      </c>
      <c r="D18" s="42">
        <f t="shared" si="3"/>
        <v>394.20000000000005</v>
      </c>
      <c r="E18" s="42">
        <f t="shared" si="3"/>
        <v>0</v>
      </c>
      <c r="F18" s="42">
        <f t="shared" si="3"/>
        <v>0</v>
      </c>
      <c r="G18" s="42">
        <f t="shared" si="3"/>
        <v>0</v>
      </c>
      <c r="H18" s="42">
        <f t="shared" si="3"/>
        <v>0</v>
      </c>
      <c r="I18" s="42">
        <f t="shared" si="3"/>
        <v>0</v>
      </c>
      <c r="J18" s="42">
        <f t="shared" si="3"/>
        <v>0</v>
      </c>
      <c r="K18" s="42">
        <f t="shared" si="3"/>
        <v>0</v>
      </c>
      <c r="L18" s="42">
        <f t="shared" si="3"/>
        <v>0</v>
      </c>
      <c r="M18" s="47"/>
    </row>
    <row r="19" spans="1:13" ht="12.75">
      <c r="A19" s="11" t="s">
        <v>15</v>
      </c>
      <c r="B19" s="52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47"/>
    </row>
    <row r="20" spans="1:13" ht="12.75">
      <c r="A20" s="8" t="s">
        <v>16</v>
      </c>
      <c r="B20" s="58">
        <f>SUM(B16:B19)</f>
        <v>1240</v>
      </c>
      <c r="C20" s="58">
        <f>SUM(C16:C19)</f>
        <v>1314</v>
      </c>
      <c r="D20" s="9">
        <f>SUM(D16:D19)</f>
        <v>1240</v>
      </c>
      <c r="E20" s="9">
        <f>SUM(E16:E19)</f>
        <v>1278.4740444444444</v>
      </c>
      <c r="F20" s="9">
        <f>SUM(F16:F19)</f>
        <v>1467.164534577778</v>
      </c>
      <c r="G20" s="9">
        <f aca="true" t="shared" si="4" ref="G20:L20">SUM(G$16:G$19)</f>
        <v>1452.8622577777778</v>
      </c>
      <c r="H20" s="9">
        <f t="shared" si="4"/>
        <v>1452.8622577777778</v>
      </c>
      <c r="I20" s="9">
        <f t="shared" si="4"/>
        <v>1452.8622577777778</v>
      </c>
      <c r="J20" s="9">
        <f t="shared" si="4"/>
        <v>1452.8622577777778</v>
      </c>
      <c r="K20" s="9">
        <f t="shared" si="4"/>
        <v>1452.8622577777778</v>
      </c>
      <c r="L20" s="9">
        <f t="shared" si="4"/>
        <v>1452.8622577777778</v>
      </c>
      <c r="M20" s="47"/>
    </row>
    <row r="21" spans="1:13" ht="12.75">
      <c r="A21" s="8" t="s">
        <v>17</v>
      </c>
      <c r="B21" s="58">
        <f aca="true" t="shared" si="5" ref="B21:L21">IF(B20-B$12&gt;0,B20-B$12,0)</f>
        <v>0</v>
      </c>
      <c r="C21" s="58">
        <f t="shared" si="5"/>
        <v>74</v>
      </c>
      <c r="D21" s="9">
        <f t="shared" si="5"/>
        <v>0</v>
      </c>
      <c r="E21" s="9">
        <f t="shared" si="5"/>
        <v>38.47404444444442</v>
      </c>
      <c r="F21" s="9">
        <f t="shared" si="5"/>
        <v>227.1645345777781</v>
      </c>
      <c r="G21" s="9">
        <f t="shared" si="5"/>
        <v>212.8622577777778</v>
      </c>
      <c r="H21" s="9">
        <f t="shared" si="5"/>
        <v>212.8622577777778</v>
      </c>
      <c r="I21" s="9">
        <f t="shared" si="5"/>
        <v>212.8622577777778</v>
      </c>
      <c r="J21" s="9">
        <f t="shared" si="5"/>
        <v>212.8622577777778</v>
      </c>
      <c r="K21" s="9">
        <f t="shared" si="5"/>
        <v>212.8622577777778</v>
      </c>
      <c r="L21" s="9">
        <f t="shared" si="5"/>
        <v>212.8622577777778</v>
      </c>
      <c r="M21" s="47"/>
    </row>
    <row r="22" spans="1:13" ht="12.75">
      <c r="A22" s="11" t="s">
        <v>18</v>
      </c>
      <c r="B22" s="43">
        <f>B20-B21</f>
        <v>1240</v>
      </c>
      <c r="C22" s="44">
        <f>C20-C21</f>
        <v>1240</v>
      </c>
      <c r="D22" s="44">
        <f>D20-D21</f>
        <v>1240</v>
      </c>
      <c r="E22" s="44">
        <f>E20-E21</f>
        <v>1240</v>
      </c>
      <c r="F22" s="44">
        <f>F20-F21</f>
        <v>1240</v>
      </c>
      <c r="G22" s="44">
        <f aca="true" t="shared" si="6" ref="G22:L22">G$20-G$21</f>
        <v>1240</v>
      </c>
      <c r="H22" s="44">
        <f t="shared" si="6"/>
        <v>1240</v>
      </c>
      <c r="I22" s="44">
        <f t="shared" si="6"/>
        <v>1240</v>
      </c>
      <c r="J22" s="44">
        <f t="shared" si="6"/>
        <v>1240</v>
      </c>
      <c r="K22" s="44">
        <f t="shared" si="6"/>
        <v>1240</v>
      </c>
      <c r="L22" s="44">
        <f t="shared" si="6"/>
        <v>1240</v>
      </c>
      <c r="M22" s="47"/>
    </row>
    <row r="23" spans="1:13" ht="12.75">
      <c r="A23" s="8" t="s">
        <v>19</v>
      </c>
      <c r="B23" s="16"/>
      <c r="C23" s="16"/>
      <c r="D23" s="9"/>
      <c r="E23" s="9"/>
      <c r="F23" s="9"/>
      <c r="G23" s="9"/>
      <c r="H23" s="9"/>
      <c r="I23" s="9"/>
      <c r="J23" s="9"/>
      <c r="K23" s="9"/>
      <c r="L23" s="9"/>
      <c r="M23" s="47"/>
    </row>
    <row r="24" spans="1:13" ht="12.75">
      <c r="A24" s="8" t="s">
        <v>20</v>
      </c>
      <c r="B24" s="58">
        <f>C$6*B17</f>
        <v>0</v>
      </c>
      <c r="C24" s="58"/>
      <c r="D24" s="9">
        <f aca="true" t="shared" si="7" ref="D24:L24">D$6*(D$22-D$16-D$18-D$19)</f>
        <v>0</v>
      </c>
      <c r="E24" s="9">
        <f t="shared" si="7"/>
        <v>123.42600000000002</v>
      </c>
      <c r="F24" s="9">
        <f t="shared" si="7"/>
        <v>111.59999999999997</v>
      </c>
      <c r="G24" s="9">
        <f t="shared" si="7"/>
        <v>111.6</v>
      </c>
      <c r="H24" s="9">
        <f t="shared" si="7"/>
        <v>111.6</v>
      </c>
      <c r="I24" s="9">
        <f t="shared" si="7"/>
        <v>111.6</v>
      </c>
      <c r="J24" s="9">
        <f t="shared" si="7"/>
        <v>111.6</v>
      </c>
      <c r="K24" s="9">
        <f t="shared" si="7"/>
        <v>111.6</v>
      </c>
      <c r="L24" s="9">
        <f t="shared" si="7"/>
        <v>111.6</v>
      </c>
      <c r="M24" s="47"/>
    </row>
    <row r="25" spans="1:13" ht="12.75">
      <c r="A25" s="8" t="s">
        <v>21</v>
      </c>
      <c r="B25" s="58">
        <f>C7*B16</f>
        <v>60</v>
      </c>
      <c r="C25" s="58"/>
      <c r="D25" s="9">
        <f aca="true" t="shared" si="8" ref="D25:L25">D$7*(D$22-(D$17-D$21)-D$18-D$19)</f>
        <v>253.73999999999998</v>
      </c>
      <c r="E25" s="9">
        <f t="shared" si="8"/>
        <v>248.57399999999996</v>
      </c>
      <c r="F25" s="9">
        <f t="shared" si="8"/>
        <v>260.40000000000003</v>
      </c>
      <c r="G25" s="9">
        <f t="shared" si="8"/>
        <v>260.40000000000003</v>
      </c>
      <c r="H25" s="9">
        <f t="shared" si="8"/>
        <v>260.40000000000003</v>
      </c>
      <c r="I25" s="9">
        <f t="shared" si="8"/>
        <v>260.40000000000003</v>
      </c>
      <c r="J25" s="9">
        <f t="shared" si="8"/>
        <v>260.40000000000003</v>
      </c>
      <c r="K25" s="9">
        <f t="shared" si="8"/>
        <v>260.40000000000003</v>
      </c>
      <c r="L25" s="9">
        <f t="shared" si="8"/>
        <v>260.40000000000003</v>
      </c>
      <c r="M25" s="47"/>
    </row>
    <row r="26" spans="1:13" ht="12.75">
      <c r="A26" s="11" t="s">
        <v>22</v>
      </c>
      <c r="B26" s="59">
        <f>C$8*(B$18+B$19)</f>
        <v>416</v>
      </c>
      <c r="C26" s="59"/>
      <c r="D26" s="12">
        <f aca="true" t="shared" si="9" ref="D26:L26">D$8*(D$18+D$19)</f>
        <v>157.68000000000004</v>
      </c>
      <c r="E26" s="12">
        <f t="shared" si="9"/>
        <v>0</v>
      </c>
      <c r="F26" s="12">
        <f t="shared" si="9"/>
        <v>0</v>
      </c>
      <c r="G26" s="12">
        <f t="shared" si="9"/>
        <v>0</v>
      </c>
      <c r="H26" s="12">
        <f t="shared" si="9"/>
        <v>0</v>
      </c>
      <c r="I26" s="12">
        <f t="shared" si="9"/>
        <v>0</v>
      </c>
      <c r="J26" s="12">
        <f t="shared" si="9"/>
        <v>0</v>
      </c>
      <c r="K26" s="12">
        <f t="shared" si="9"/>
        <v>0</v>
      </c>
      <c r="L26" s="12">
        <f t="shared" si="9"/>
        <v>0</v>
      </c>
      <c r="M26" s="47"/>
    </row>
    <row r="27" spans="1:13" ht="12.75">
      <c r="A27" s="8" t="s">
        <v>23</v>
      </c>
      <c r="B27" s="58">
        <f>(1-C$11)*B22*(1-C$9)*12/C$13</f>
        <v>477.8133333333333</v>
      </c>
      <c r="C27" s="58">
        <f>(1-C11)*(C18+C19)*(1-C$9)*12/C$13</f>
        <v>0</v>
      </c>
      <c r="D27" s="9">
        <f>(1-D11)*(D22+D24+D25+D26)*(1-D$9)*12/D$13</f>
        <v>636.3471733333333</v>
      </c>
      <c r="E27" s="9">
        <f aca="true" t="shared" si="10" ref="E27:L27">(1-E11)*(E22+E24+E25+E26)*(1-E$9)*12/E$13</f>
        <v>621.1573333333333</v>
      </c>
      <c r="F27" s="9">
        <f t="shared" si="10"/>
        <v>621.1573333333333</v>
      </c>
      <c r="G27" s="9">
        <f t="shared" si="10"/>
        <v>621.1573333333333</v>
      </c>
      <c r="H27" s="9">
        <f t="shared" si="10"/>
        <v>621.1573333333333</v>
      </c>
      <c r="I27" s="9">
        <f t="shared" si="10"/>
        <v>621.1573333333333</v>
      </c>
      <c r="J27" s="9">
        <f t="shared" si="10"/>
        <v>621.1573333333333</v>
      </c>
      <c r="K27" s="9">
        <f t="shared" si="10"/>
        <v>621.1573333333333</v>
      </c>
      <c r="L27" s="9">
        <f t="shared" si="10"/>
        <v>621.1573333333333</v>
      </c>
      <c r="M27" s="47"/>
    </row>
    <row r="28" spans="1:13" ht="12.75">
      <c r="A28" s="8" t="s">
        <v>24</v>
      </c>
      <c r="B28" s="58">
        <f>C11*B22*(1-C$9)*12/C$13</f>
        <v>459.0755555555556</v>
      </c>
      <c r="C28" s="58">
        <f>C11*(C18+C19)*(1-C$9)*12/C$13</f>
        <v>0</v>
      </c>
      <c r="D28" s="9">
        <f>D11*(D22+D24+D25+D26)*(1-D$9)*12/D$13</f>
        <v>611.3923822222224</v>
      </c>
      <c r="E28" s="9">
        <f aca="true" t="shared" si="11" ref="E28:L28">E11*(E22+E24+E25+E26)*(1-E$9)*12/E$13</f>
        <v>596.7982222222222</v>
      </c>
      <c r="F28" s="9">
        <f t="shared" si="11"/>
        <v>596.7982222222222</v>
      </c>
      <c r="G28" s="9">
        <f t="shared" si="11"/>
        <v>596.7982222222222</v>
      </c>
      <c r="H28" s="9">
        <f t="shared" si="11"/>
        <v>596.7982222222222</v>
      </c>
      <c r="I28" s="9">
        <f t="shared" si="11"/>
        <v>596.7982222222222</v>
      </c>
      <c r="J28" s="9">
        <f t="shared" si="11"/>
        <v>596.7982222222222</v>
      </c>
      <c r="K28" s="9">
        <f t="shared" si="11"/>
        <v>596.7982222222222</v>
      </c>
      <c r="L28" s="9">
        <f t="shared" si="11"/>
        <v>596.7982222222222</v>
      </c>
      <c r="M28" s="47"/>
    </row>
    <row r="29" spans="1:13" ht="12.75">
      <c r="A29" s="11" t="s">
        <v>25</v>
      </c>
      <c r="B29" s="60">
        <v>500</v>
      </c>
      <c r="C29" s="59"/>
      <c r="D29" s="12">
        <f>IF(LEFT($B$30,1)="n",0,(B28+C28))</f>
        <v>459.0755555555556</v>
      </c>
      <c r="E29" s="12">
        <f>IF(LEFT($B$30,1)="n",0,D28)</f>
        <v>611.3923822222224</v>
      </c>
      <c r="F29" s="12">
        <f aca="true" t="shared" si="12" ref="F29:L29">IF(LEFT($B$30,1)="n",0,E28)</f>
        <v>596.7982222222222</v>
      </c>
      <c r="G29" s="12">
        <f t="shared" si="12"/>
        <v>596.7982222222222</v>
      </c>
      <c r="H29" s="12">
        <f t="shared" si="12"/>
        <v>596.7982222222222</v>
      </c>
      <c r="I29" s="12">
        <f t="shared" si="12"/>
        <v>596.7982222222222</v>
      </c>
      <c r="J29" s="12">
        <f t="shared" si="12"/>
        <v>596.7982222222222</v>
      </c>
      <c r="K29" s="12">
        <f t="shared" si="12"/>
        <v>596.7982222222222</v>
      </c>
      <c r="L29" s="12">
        <f t="shared" si="12"/>
        <v>596.7982222222222</v>
      </c>
      <c r="M29" s="47"/>
    </row>
    <row r="30" spans="1:12" ht="12.75">
      <c r="A30" s="53" t="s">
        <v>40</v>
      </c>
      <c r="B30" s="54" t="s">
        <v>41</v>
      </c>
      <c r="C30" s="55"/>
      <c r="D30" s="55"/>
      <c r="E30" s="55"/>
      <c r="F30" s="55"/>
      <c r="G30" s="55"/>
      <c r="H30" s="56"/>
      <c r="I30" s="56"/>
      <c r="J30" s="56"/>
      <c r="K30" s="56"/>
      <c r="L30" s="56"/>
    </row>
    <row r="31" spans="1:8" ht="12.75">
      <c r="A31" s="63" t="s">
        <v>42</v>
      </c>
      <c r="B31" s="64"/>
      <c r="C31" s="64"/>
      <c r="D31" s="64"/>
      <c r="E31" s="64"/>
      <c r="F31" s="64"/>
      <c r="G31" s="75"/>
      <c r="H31" s="75"/>
    </row>
    <row r="32" ht="12.75">
      <c r="A32" s="77"/>
    </row>
  </sheetData>
  <sheetProtection/>
  <mergeCells count="2">
    <mergeCell ref="A1:G1"/>
    <mergeCell ref="H1:M1"/>
  </mergeCells>
  <printOptions horizontalCentered="1"/>
  <pageMargins left="0.75" right="0.75" top="1" bottom="1" header="0.5" footer="0.5"/>
  <pageSetup fitToHeight="1" fitToWidth="1" horizontalDpi="300" verticalDpi="300" orientation="portrait" scale="84" r:id="rId3"/>
  <headerFooter alignWithMargins="0">
    <oddFooter xml:space="preserve">&amp;R&amp;8Dairy Management at Virginia Tech
Template by M. L. McGilliard
[&amp;F], &amp;A, Rev. 12/8/03
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McGilliard</dc:creator>
  <cp:keywords/>
  <dc:description/>
  <cp:lastModifiedBy>Silvija Dreijere</cp:lastModifiedBy>
  <cp:lastPrinted>2007-04-20T14:59:43Z</cp:lastPrinted>
  <dcterms:created xsi:type="dcterms:W3CDTF">1996-10-23T13:31:43Z</dcterms:created>
  <dcterms:modified xsi:type="dcterms:W3CDTF">2014-12-16T05:13:46Z</dcterms:modified>
  <cp:category/>
  <cp:version/>
  <cp:contentType/>
  <cp:contentStatus/>
</cp:coreProperties>
</file>